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9355" lockStructure="1"/>
  <bookViews>
    <workbookView xWindow="0" yWindow="60" windowWidth="23250" windowHeight="13110"/>
  </bookViews>
  <sheets>
    <sheet name="Abstrahlverhalten" sheetId="1" r:id="rId1"/>
    <sheet name="Berechnung" sheetId="2" state="hidden" r:id="rId2"/>
    <sheet name="Bilder" sheetId="3" state="hidden" r:id="rId3"/>
  </sheets>
  <definedNames>
    <definedName name="alpha">Abstrahlverhalten!$T$6</definedName>
    <definedName name="alpha_1">Berechnung!$C$37</definedName>
    <definedName name="alpha1">Abstrahlverhalten!#REF!</definedName>
    <definedName name="alphaa">Berechnung!#REF!</definedName>
    <definedName name="alphab">Abstrahlverhalten!#REF!</definedName>
    <definedName name="AnzAlArray">Abstrahlverhalten!#REF!</definedName>
    <definedName name="AnzChass">Berechnung!$C$20</definedName>
    <definedName name="AnzGrp">Berechnung!$C$18</definedName>
    <definedName name="AnzHT">Berechnung!#REF!</definedName>
    <definedName name="AnzLS">Berechnung!$C$19</definedName>
    <definedName name="AnzTT">Berechnung!#REF!</definedName>
    <definedName name="AnzTT2">Berechnung!#REF!</definedName>
    <definedName name="Berechnung">Abstrahlverhalten!$L$3</definedName>
    <definedName name="beta">Abstrahlverhalten!$T$7</definedName>
    <definedName name="beta1">Berechnung!$C$38</definedName>
    <definedName name="c_schall">Berechnung!$C$27</definedName>
    <definedName name="dChass">Berechnung!$C$22</definedName>
    <definedName name="dChass_virt">Berechnung!$C$47</definedName>
    <definedName name="dChRd">Berechnung!$C$23</definedName>
    <definedName name="dChRd_virt">Berechnung!$C$48</definedName>
    <definedName name="dChRd100">Berechnung!$C$24</definedName>
    <definedName name="dChRd100_virt">Berechnung!$C$49</definedName>
    <definedName name="dChRd125">Berechnung!$C$25</definedName>
    <definedName name="dChRd125_virt">Berechnung!$C$50</definedName>
    <definedName name="delay_G1">Berechnung!$P$6</definedName>
    <definedName name="delay_G10">Berechnung!$P$15</definedName>
    <definedName name="delay_G11">Berechnung!$P$16</definedName>
    <definedName name="delay_G12">Berechnung!$P$17</definedName>
    <definedName name="delay_G2">Berechnung!$P$7</definedName>
    <definedName name="delay_G3">Berechnung!$P$8</definedName>
    <definedName name="delay_G4">Berechnung!$P$9</definedName>
    <definedName name="delay_G5">Berechnung!$P$10</definedName>
    <definedName name="delay_G6">Berechnung!$P$11</definedName>
    <definedName name="delay_G7">Berechnung!$P$12</definedName>
    <definedName name="delay_G8">Berechnung!$P$13</definedName>
    <definedName name="delay_G9">Berechnung!$P$14</definedName>
    <definedName name="dGruppen">Berechnung!$C$14</definedName>
    <definedName name="dGruppen_virt">Berechnung!$C$55</definedName>
    <definedName name="dHT">Berechnung!#REF!</definedName>
    <definedName name="diff_1">Berechnung!$M$6</definedName>
    <definedName name="diff_10">Berechnung!$M$15</definedName>
    <definedName name="diff_11">Berechnung!$M$16</definedName>
    <definedName name="diff_12">Berechnung!$M$17</definedName>
    <definedName name="diff_1C">Berechnung!$R$3</definedName>
    <definedName name="diff_2">Berechnung!$M$7</definedName>
    <definedName name="diff_3">Berechnung!$M$8</definedName>
    <definedName name="diff_4">Berechnung!$M$9</definedName>
    <definedName name="diff_5">Berechnung!$M$10</definedName>
    <definedName name="diff_6">Berechnung!$M$11</definedName>
    <definedName name="diff_7">Berechnung!$M$12</definedName>
    <definedName name="diff_8">Berechnung!$M$13</definedName>
    <definedName name="diff_9">Berechnung!$M$14</definedName>
    <definedName name="diff2_1">Berechnung!$M$25</definedName>
    <definedName name="diff2_10">Berechnung!$M$34</definedName>
    <definedName name="diff2_11">Berechnung!$M$35</definedName>
    <definedName name="diff2_12">Berechnung!$M$36</definedName>
    <definedName name="diff2_2">Berechnung!$M$26</definedName>
    <definedName name="diff2_3">Berechnung!$M$27</definedName>
    <definedName name="diff2_4">Berechnung!$M$28</definedName>
    <definedName name="diff2_5">Berechnung!$M$29</definedName>
    <definedName name="diff2_6">Berechnung!$M$30</definedName>
    <definedName name="diff2_7">Berechnung!$M$31</definedName>
    <definedName name="diff2_8">Berechnung!$M$32</definedName>
    <definedName name="diff2_9">Berechnung!$M$33</definedName>
    <definedName name="diff3_1">Berechnung!$P$25</definedName>
    <definedName name="diff3_10">Berechnung!$P$34</definedName>
    <definedName name="diff3_11">Berechnung!$P$35</definedName>
    <definedName name="diff3_12">Berechnung!$P$36</definedName>
    <definedName name="diff3_2">Berechnung!$P$26</definedName>
    <definedName name="diff3_3">Berechnung!$P$27</definedName>
    <definedName name="diff3_4">Berechnung!$P$28</definedName>
    <definedName name="diff3_5">Berechnung!$P$29</definedName>
    <definedName name="diff3_6">Berechnung!$P$30</definedName>
    <definedName name="diff3_7">Berechnung!$P$31</definedName>
    <definedName name="diff3_8">Berechnung!$P$32</definedName>
    <definedName name="diff3_9">Berechnung!$P$33</definedName>
    <definedName name="dLS">Berechnung!$C$15</definedName>
    <definedName name="dLS_virt">Berechnung!$C$56</definedName>
    <definedName name="dTT">Berechnung!$C$14</definedName>
    <definedName name="dUKLS">Berechnung!$C$5</definedName>
    <definedName name="dxMax__HT">Berechnung!#REF!</definedName>
    <definedName name="dxMax_HT">Berechnung!#REF!</definedName>
    <definedName name="dxMIN_HT">Berechnung!$W$6</definedName>
    <definedName name="dxMIN_MT">Berechnung!$X$6</definedName>
    <definedName name="dxMIN_TT">Berechnung!$Y$6</definedName>
    <definedName name="dxMIN_TT2">Berechnung!$Z$6</definedName>
    <definedName name="dxTT">Berechnung!#REF!</definedName>
    <definedName name="EndeHB">Abstrahlverhalten!$P$7</definedName>
    <definedName name="L_eff">Berechnung!$C$11</definedName>
    <definedName name="L_eff_virt">Berechnung!$C$52</definedName>
    <definedName name="L_effGrp">Berechnung!$C$12</definedName>
    <definedName name="L_effGrp_virt">Berechnung!$C$53</definedName>
    <definedName name="L_HTeff">Berechnung!$C$11</definedName>
    <definedName name="L_MTeff">Berechnung!#REF!</definedName>
    <definedName name="L_TTeff">Berechnung!#REF!</definedName>
    <definedName name="m_1">Berechnung!$C$30</definedName>
    <definedName name="m_1_Winkel">Berechnung!$C$40</definedName>
    <definedName name="m_1_Winkel2">Berechnung!$C$61</definedName>
    <definedName name="m_2">Berechnung!$C$33</definedName>
    <definedName name="m_2_Winkel">Berechnung!$C$41</definedName>
    <definedName name="m_2_Winkel2">Berechnung!$C$62</definedName>
    <definedName name="m_2_zwischen">Berechnung!$C$32</definedName>
    <definedName name="min_dx_HT">Berechnung!$W$9</definedName>
    <definedName name="min_dx_MT">Berechnung!$X$9</definedName>
    <definedName name="min_dx_TT">Berechnung!$Y$9</definedName>
    <definedName name="min_dx_TT2">Berechnung!$Z$9</definedName>
    <definedName name="minDX">Berechnung!$M$4</definedName>
    <definedName name="minDX_lang">Berechnung!$Q$13</definedName>
    <definedName name="minDX2">Berechnung!$M$22</definedName>
    <definedName name="minDX3">Berechnung!$M$23</definedName>
    <definedName name="Modell">Abstrahlverhalten!$H$3</definedName>
    <definedName name="Modell2">Berechnung!$C$17</definedName>
    <definedName name="NumHT">Berechnung!#REF!</definedName>
    <definedName name="NumTT">Berechnung!#REF!</definedName>
    <definedName name="OKHB">Abstrahlverhalten!$L$7</definedName>
    <definedName name="Ref_ZL125">Berechnung!$I$4</definedName>
    <definedName name="Ref_ZL200">Berechnung!$J$4</definedName>
    <definedName name="Ref_ZL250">Berechnung!$K$4</definedName>
    <definedName name="Ref_ZL375">Berechnung!$L$4</definedName>
    <definedName name="Ref2_ZL125">Berechnung!$I$22</definedName>
    <definedName name="Ref2_ZL200">Berechnung!$J$22</definedName>
    <definedName name="Ref2_ZL250">Berechnung!$K$22</definedName>
    <definedName name="Ref2_ZL375">Berechnung!$L$22</definedName>
    <definedName name="Ref3_ZL125">Berechnung!$I$23</definedName>
    <definedName name="Ref3_ZL200">Berechnung!$J$23</definedName>
    <definedName name="Ref3_ZL250">Berechnung!$K$23</definedName>
    <definedName name="Ref3_ZL375">Berechnung!$L$23</definedName>
    <definedName name="StHB">Abstrahlverhalten!$P$6</definedName>
    <definedName name="t_1">Berechnung!$C$31</definedName>
    <definedName name="t_2">Berechnung!$C$34</definedName>
    <definedName name="UKHB">Abstrahlverhalten!$L$6</definedName>
    <definedName name="UKLS">Abstrahlverhalten!$H$6</definedName>
    <definedName name="x_1">Berechnung!$C$8</definedName>
    <definedName name="x_2">Berechnung!$C$9</definedName>
    <definedName name="xFoc">Berechnung!$F$2</definedName>
    <definedName name="xFok">Berechnung!$F$3</definedName>
    <definedName name="xFok_HB">Berechnung!$F$5</definedName>
    <definedName name="xFok_HT">Berechnung!$F$3</definedName>
    <definedName name="xFok_MT">Berechnung!$F$4</definedName>
    <definedName name="xFok_TT">Berechnung!$F$5</definedName>
    <definedName name="xFok_Winkel">Berechnung!$F$7</definedName>
    <definedName name="xFok_Winkel2">Berechnung!$F$8</definedName>
    <definedName name="xFokus">Berechnung!$F$2</definedName>
    <definedName name="y_1">Berechnung!$C$6</definedName>
    <definedName name="y_2">Berechnung!$C$7</definedName>
    <definedName name="y_LS1">Berechnung!$C$3</definedName>
    <definedName name="y_LS1_virt">Berechnung!$C$45</definedName>
    <definedName name="y_LS2">Berechnung!$C$2</definedName>
    <definedName name="y_LS2_virt">Berechnung!$C$44</definedName>
    <definedName name="y2HB">Abstrahlverhalten!$L$6</definedName>
    <definedName name="yFok">Berechnung!$G$3</definedName>
    <definedName name="yFok_HB">Berechnung!$G$5</definedName>
    <definedName name="yFok_HT">Berechnung!$G$3</definedName>
    <definedName name="yFok_MT">Berechnung!$G$4</definedName>
    <definedName name="yFok_TT">Berechnung!$G$5</definedName>
    <definedName name="yFok_Winkel">Berechnung!$G$7</definedName>
    <definedName name="yFok_Winkel2">Berechnung!$G$8</definedName>
    <definedName name="yFokus">Berechnung!$F$3</definedName>
    <definedName name="ZL_125">INDIRECT("Bilder!B"&amp;Bilder!$D$3)</definedName>
    <definedName name="ZL_250">INDIRECT("Bilder!B"&amp;Bilder!$F$3)</definedName>
    <definedName name="ZL_375">INDIRECT("Bilder!B"&amp;Bilder!$H$3)</definedName>
  </definedNames>
  <calcPr calcId="145621"/>
</workbook>
</file>

<file path=xl/calcChain.xml><?xml version="1.0" encoding="utf-8"?>
<calcChain xmlns="http://schemas.openxmlformats.org/spreadsheetml/2006/main">
  <c r="C37" i="2" l="1"/>
  <c r="C38" i="2" l="1"/>
  <c r="C14" i="2"/>
  <c r="C40" i="2" l="1"/>
  <c r="C47" i="2"/>
  <c r="C53" i="2" s="1"/>
  <c r="C49" i="2"/>
  <c r="C50" i="2"/>
  <c r="C41" i="2"/>
  <c r="C18" i="2"/>
  <c r="C55" i="2" l="1"/>
  <c r="C62" i="2"/>
  <c r="C61" i="2"/>
  <c r="F3" i="3"/>
  <c r="C17" i="2" l="1"/>
  <c r="C23" i="2" s="1"/>
  <c r="C48" i="2" s="1"/>
  <c r="C3" i="2" l="1"/>
  <c r="C15" i="2"/>
  <c r="C12" i="2"/>
  <c r="F36" i="1"/>
  <c r="F34" i="1"/>
  <c r="F32" i="1"/>
  <c r="F30" i="1"/>
  <c r="F28" i="1"/>
  <c r="F26" i="1"/>
  <c r="F24" i="1"/>
  <c r="F22" i="1"/>
  <c r="H3" i="3"/>
  <c r="D3" i="3"/>
  <c r="C37" i="1"/>
  <c r="C41" i="1"/>
  <c r="C45" i="1"/>
  <c r="C33" i="1"/>
  <c r="C29" i="1"/>
  <c r="C25" i="1"/>
  <c r="C21" i="1"/>
  <c r="C17" i="1"/>
  <c r="K13" i="1"/>
  <c r="C45" i="2" l="1"/>
  <c r="C56" i="2"/>
  <c r="C19" i="2"/>
  <c r="C44" i="2" s="1"/>
  <c r="C8" i="2"/>
  <c r="C9" i="2"/>
  <c r="C7" i="2"/>
  <c r="C6" i="2"/>
  <c r="X26" i="1"/>
  <c r="P26" i="1"/>
  <c r="N22" i="1"/>
  <c r="N18" i="1"/>
  <c r="K23" i="1"/>
  <c r="C5" i="2"/>
  <c r="F8" i="2" l="1"/>
  <c r="C52" i="2"/>
  <c r="C2" i="2"/>
  <c r="F7" i="2" s="1"/>
  <c r="C30" i="2"/>
  <c r="C31" i="2"/>
  <c r="C11" i="2"/>
  <c r="F3" i="2" l="1"/>
  <c r="G7" i="2"/>
  <c r="C32" i="2"/>
  <c r="C33" i="2" s="1"/>
  <c r="F5" i="2" s="1"/>
  <c r="G8" i="2"/>
  <c r="J27" i="2" s="1"/>
  <c r="C34" i="2"/>
  <c r="J25" i="2" l="1"/>
  <c r="J30" i="2"/>
  <c r="J28" i="2"/>
  <c r="J34" i="2"/>
  <c r="J35" i="2"/>
  <c r="J33" i="2"/>
  <c r="J26" i="2"/>
  <c r="J31" i="2"/>
  <c r="J29" i="2"/>
  <c r="J36" i="2"/>
  <c r="J32" i="2"/>
  <c r="G5" i="2"/>
  <c r="P11" i="1" l="1"/>
  <c r="G3" i="2" l="1"/>
  <c r="J7" i="2" s="1"/>
  <c r="J15" i="2" l="1"/>
  <c r="P12" i="1"/>
  <c r="J14" i="2"/>
  <c r="J12" i="2"/>
  <c r="J16" i="2"/>
  <c r="J10" i="2"/>
  <c r="J13" i="2"/>
  <c r="J8" i="2"/>
  <c r="J11" i="2"/>
  <c r="J17" i="2"/>
  <c r="J9" i="2"/>
  <c r="J6" i="2"/>
  <c r="J4" i="2" l="1"/>
  <c r="K4" i="2"/>
  <c r="L4" i="2"/>
  <c r="M4" i="2" s="1"/>
  <c r="M11" i="2" s="1"/>
  <c r="M30" i="2" s="1"/>
  <c r="I4" i="2"/>
  <c r="M12" i="2" l="1"/>
  <c r="M31" i="2" s="1"/>
  <c r="M9" i="2"/>
  <c r="M28" i="2" s="1"/>
  <c r="M8" i="2"/>
  <c r="M27" i="2" s="1"/>
  <c r="M6" i="2"/>
  <c r="M25" i="2" s="1"/>
  <c r="M16" i="2"/>
  <c r="M35" i="2" s="1"/>
  <c r="M14" i="2"/>
  <c r="M33" i="2" s="1"/>
  <c r="M17" i="2"/>
  <c r="M36" i="2" s="1"/>
  <c r="M15" i="2"/>
  <c r="M34" i="2" s="1"/>
  <c r="M7" i="2"/>
  <c r="M26" i="2" s="1"/>
  <c r="M10" i="2"/>
  <c r="M29" i="2" s="1"/>
  <c r="M13" i="2"/>
  <c r="M32" i="2" s="1"/>
  <c r="J22" i="2" l="1"/>
  <c r="K22" i="2"/>
  <c r="I22" i="2"/>
  <c r="L22" i="2"/>
  <c r="M22" i="2" s="1"/>
  <c r="P25" i="2" l="1"/>
  <c r="P6" i="2" s="1"/>
  <c r="I14" i="1" s="1"/>
  <c r="G14" i="1" s="1"/>
  <c r="P34" i="2"/>
  <c r="P15" i="2" s="1"/>
  <c r="I32" i="1" s="1"/>
  <c r="G32" i="1" s="1"/>
  <c r="P30" i="2"/>
  <c r="P11" i="2" s="1"/>
  <c r="P33" i="2"/>
  <c r="P14" i="2" s="1"/>
  <c r="P31" i="2"/>
  <c r="P12" i="2" s="1"/>
  <c r="P29" i="2"/>
  <c r="P10" i="2" s="1"/>
  <c r="P35" i="2"/>
  <c r="P16" i="2" s="1"/>
  <c r="P36" i="2"/>
  <c r="P17" i="2" s="1"/>
  <c r="P32" i="2"/>
  <c r="P13" i="2" s="1"/>
  <c r="P28" i="2"/>
  <c r="P9" i="2" s="1"/>
  <c r="P27" i="2"/>
  <c r="P8" i="2" s="1"/>
  <c r="P26" i="2" l="1"/>
  <c r="P7" i="2" s="1"/>
  <c r="Q7" i="2" s="1"/>
  <c r="Q14" i="2"/>
  <c r="I24" i="1"/>
  <c r="G24" i="1" s="1"/>
  <c r="Q10" i="2"/>
  <c r="Q9" i="2"/>
  <c r="I22" i="1"/>
  <c r="G22" i="1" s="1"/>
  <c r="I18" i="1"/>
  <c r="G18" i="1" s="1"/>
  <c r="I36" i="1"/>
  <c r="G36" i="1" s="1"/>
  <c r="Q16" i="2"/>
  <c r="Q11" i="2"/>
  <c r="I26" i="1"/>
  <c r="G26" i="1" s="1"/>
  <c r="I20" i="1"/>
  <c r="G20" i="1" s="1"/>
  <c r="Q8" i="2"/>
  <c r="Q15" i="2"/>
  <c r="I34" i="1"/>
  <c r="G34" i="1" s="1"/>
  <c r="Q13" i="2"/>
  <c r="I30" i="1"/>
  <c r="G30" i="1" s="1"/>
  <c r="Q12" i="2"/>
  <c r="I28" i="1"/>
  <c r="G28" i="1" s="1"/>
  <c r="I16" i="1" l="1"/>
  <c r="G16" i="1" s="1"/>
  <c r="Q6" i="2"/>
</calcChain>
</file>

<file path=xl/sharedStrings.xml><?xml version="1.0" encoding="utf-8"?>
<sst xmlns="http://schemas.openxmlformats.org/spreadsheetml/2006/main" count="216" uniqueCount="127">
  <si>
    <t>Für das gewünschte Abstrahlverhalten sind folgende Delaywerte in der DSC-Control Software einzutragen:</t>
  </si>
  <si>
    <t>Out 1:</t>
  </si>
  <si>
    <t>Out 2:</t>
  </si>
  <si>
    <t>Out 3:</t>
  </si>
  <si>
    <t>Out 4:</t>
  </si>
  <si>
    <t>Delay in ms:</t>
  </si>
  <si>
    <t>Delay in mm:</t>
  </si>
  <si>
    <t>x-Koordinate</t>
  </si>
  <si>
    <t>y-Koordinate</t>
  </si>
  <si>
    <t>Fokuspunkt</t>
  </si>
  <si>
    <t>dLS =</t>
  </si>
  <si>
    <t>AnzLS =</t>
  </si>
  <si>
    <t>Anzahl Teile Lautsprecher:</t>
  </si>
  <si>
    <t>Abstände dx:</t>
  </si>
  <si>
    <t>Abstand zum Fokuspunkt</t>
  </si>
  <si>
    <t>Gruppe 1</t>
  </si>
  <si>
    <t>Gruppe 2</t>
  </si>
  <si>
    <t>Gruppe 3</t>
  </si>
  <si>
    <t>Gruppe 4</t>
  </si>
  <si>
    <t>Gruppe 5</t>
  </si>
  <si>
    <t>Gruppe 6</t>
  </si>
  <si>
    <t>Gruppe 7</t>
  </si>
  <si>
    <t>Gruppe 8</t>
  </si>
  <si>
    <t>Schallgeschwindigkeit</t>
  </si>
  <si>
    <t>c_schall =</t>
  </si>
  <si>
    <t>Abstände diff:</t>
  </si>
  <si>
    <t>Delay der Gruppen in m</t>
  </si>
  <si>
    <t>Abstand LS-Gruppen:</t>
  </si>
  <si>
    <t>Anzahl LS-Gruppen:</t>
  </si>
  <si>
    <t>effektive Länge Lautsprecher:</t>
  </si>
  <si>
    <t>L_eff =</t>
  </si>
  <si>
    <t>dGruppen =</t>
  </si>
  <si>
    <t>Gruppen</t>
  </si>
  <si>
    <t>Delay-Berechnung für ZL</t>
  </si>
  <si>
    <t>Unterkante Lautsprecher:</t>
  </si>
  <si>
    <t>dUKLS =</t>
  </si>
  <si>
    <t>Unterkante Hörbereich:</t>
  </si>
  <si>
    <t>Oberkante Hörbereich:</t>
  </si>
  <si>
    <t>y</t>
  </si>
  <si>
    <t>x</t>
  </si>
  <si>
    <t>Unterkante Hörbereich (y1):</t>
  </si>
  <si>
    <t>Oberkante Hörbereich (y2):</t>
  </si>
  <si>
    <t>Start Hörbereich (x1):</t>
  </si>
  <si>
    <t>Ende Hörbereich (x2):</t>
  </si>
  <si>
    <t>Unterkante Lautsprecher y(LS):</t>
  </si>
  <si>
    <t>x = 0 m</t>
  </si>
  <si>
    <t>y = 0m</t>
  </si>
  <si>
    <t>Start Hörbereich:</t>
  </si>
  <si>
    <t>Ende Hörbereich:</t>
  </si>
  <si>
    <t>y-Koordinate unterstes Chassis:</t>
  </si>
  <si>
    <t>y-Koordinate oberstes Chassis:</t>
  </si>
  <si>
    <t>y_LS1 =</t>
  </si>
  <si>
    <t>y_LS2 =</t>
  </si>
  <si>
    <t>y_1 =</t>
  </si>
  <si>
    <t>y_2 =</t>
  </si>
  <si>
    <t>x_1 =</t>
  </si>
  <si>
    <t>x_2 =</t>
  </si>
  <si>
    <t>m_2 =</t>
  </si>
  <si>
    <t>m_1 =</t>
  </si>
  <si>
    <t>t_1 =</t>
  </si>
  <si>
    <t>t_2 =</t>
  </si>
  <si>
    <t>Referenz:</t>
  </si>
  <si>
    <t>ZL 125</t>
  </si>
  <si>
    <t>ZL 250</t>
  </si>
  <si>
    <t>ZL 375</t>
  </si>
  <si>
    <t>ZL 200</t>
  </si>
  <si>
    <t>Lautsprecher:</t>
  </si>
  <si>
    <t>Modell:</t>
  </si>
  <si>
    <t>Modell =</t>
  </si>
  <si>
    <t>Anzahl Chassis pro Gruppe:</t>
  </si>
  <si>
    <t>AnzChass =</t>
  </si>
  <si>
    <t>Abstand LS-Gruppen zwischen zwei Zeilen:</t>
  </si>
  <si>
    <t>Abstand zwischen Chassis:</t>
  </si>
  <si>
    <t>dChass =</t>
  </si>
  <si>
    <t>Abstand äußerstes Chassis zum Rand:</t>
  </si>
  <si>
    <t>dChRd =</t>
  </si>
  <si>
    <t>Gruppe 9</t>
  </si>
  <si>
    <t>Gruppe 10</t>
  </si>
  <si>
    <t>Gruppe 11</t>
  </si>
  <si>
    <t>Gruppe 12</t>
  </si>
  <si>
    <t>AnzGrp =</t>
  </si>
  <si>
    <t>Abstand äußerstes Chassis zum Rand (ZL 125):</t>
  </si>
  <si>
    <t>Abstand äußerstes Chassis zum Rand (ZL 100):</t>
  </si>
  <si>
    <t>dChRd125 =</t>
  </si>
  <si>
    <t>dChRd100 =</t>
  </si>
  <si>
    <t>effektive Länge Gruppen:</t>
  </si>
  <si>
    <t>L_effGrp =</t>
  </si>
  <si>
    <t>Fokuspunkt:</t>
  </si>
  <si>
    <t>Berechnung über:</t>
  </si>
  <si>
    <t>Hörbereich</t>
  </si>
  <si>
    <t>Neigungs- &amp; Öffnungswinkel</t>
  </si>
  <si>
    <t>Tragen Sie hier das gewünschte Abstrahlverhalten ein (Hörbereich):</t>
  </si>
  <si>
    <t>Tragen Sie hier das gewünschte Abstrahlverhalten ein (Neigungs- &amp; Öffnungswinkel):</t>
  </si>
  <si>
    <t>Neigungswinkel:</t>
  </si>
  <si>
    <t>Öffnungswinkel:</t>
  </si>
  <si>
    <t>Zwischenergebnis m_2 =</t>
  </si>
  <si>
    <t>Geradengleichung 1</t>
  </si>
  <si>
    <t>Geradengleichung 2</t>
  </si>
  <si>
    <t>Fokus Hörbereich:</t>
  </si>
  <si>
    <t>Neigungswinkel Alpha:</t>
  </si>
  <si>
    <t>α =</t>
  </si>
  <si>
    <t>β =</t>
  </si>
  <si>
    <t>Öffnungswinkel Beta:</t>
  </si>
  <si>
    <t>Negative Öffnungswinkel sorgen für eine Fokussierung der Abstrahlung</t>
  </si>
  <si>
    <t>m_1_Winkel =</t>
  </si>
  <si>
    <t xml:space="preserve">m_2_Winkel = </t>
  </si>
  <si>
    <t>Fokus:</t>
  </si>
  <si>
    <t>Fokus Abstrahlwinkel:</t>
  </si>
  <si>
    <t>Fokus Öffnungswinkel:</t>
  </si>
  <si>
    <t>m_1_Winkel2 =</t>
  </si>
  <si>
    <t xml:space="preserve">m_2_Winkel2 = </t>
  </si>
  <si>
    <t>Steigung für Neigungswinkelberechnung</t>
  </si>
  <si>
    <t>Steigung für Öffnungswinkelberechnung</t>
  </si>
  <si>
    <t>Öffnungswinkelberechnung:</t>
  </si>
  <si>
    <t>unterstes Chassis virtuell:</t>
  </si>
  <si>
    <t>oberstes Chassis virtuell:</t>
  </si>
  <si>
    <t>y_LS2_virt =</t>
  </si>
  <si>
    <t>y_LS1_virt =</t>
  </si>
  <si>
    <t>dChass_virt =</t>
  </si>
  <si>
    <t>dChRd_virt =</t>
  </si>
  <si>
    <t>dChRd100_virt =</t>
  </si>
  <si>
    <t>dChRd125_virt =</t>
  </si>
  <si>
    <t>L_eff_virt =</t>
  </si>
  <si>
    <t>L_effGrp_virt =</t>
  </si>
  <si>
    <t>dLS_virt =</t>
  </si>
  <si>
    <t>dGruppen_virt =</t>
  </si>
  <si>
    <t>Negative Neigungswinkel richten die Abstrahlung nach oben!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</si>
</sst>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0.0\ &quot;°&quot;"/>
    <numFmt numFmtId="165" formatCode="0.0000\ &quot;ms&quot;"/>
    <numFmt numFmtId="166" formatCode="0.00\ &quot;mm&quot;"/>
    <numFmt numFmtId="167" formatCode="0\ &quot;mm&quot;"/>
    <numFmt numFmtId="168" formatCode="0.000\ &quot;m&quot;"/>
    <numFmt numFmtId="169" formatCode="0.00\ &quot;m&quot;"/>
    <numFmt numFmtId="170" formatCode="0\ &quot;m/s&quot;"/>
    <numFmt numFmtId="171" formatCode="0.00\ &quot;ms&quot;"/>
    <numFmt numFmtId="172" formatCode="0.0\ &quot;m&quot;"/>
    <numFmt numFmtId="173" formatCode="&quot;y2 =&quot;\ 0.00\ &quot;m&quot;"/>
    <numFmt numFmtId="174" formatCode="&quot;y1 =&quot;\ 0.00\ &quot;m&quot;"/>
    <numFmt numFmtId="175" formatCode="&quot;x1 =&quot;\ 0.0\ &quot;m&quot;"/>
    <numFmt numFmtId="176" formatCode="&quot;x2 =&quot;\ 0.0\ &quot;m&quot;"/>
    <numFmt numFmtId="177" formatCode="0.000"/>
    <numFmt numFmtId="178" formatCode="&quot;L =&quot;\ 0.00\ &quot;m&quot;"/>
    <numFmt numFmtId="179" formatCode="&quot;L =&quot;\ 0.00\ &quot;m    &quot;"/>
    <numFmt numFmtId="180" formatCode="&quot;y(LS) = &quot;0.00\ &quot;m&quot;;&quot;y(LS) = &quot;\-0.00\ &quot;m&quot;"/>
    <numFmt numFmtId="181" formatCode="0.0&quot;°&quot;"/>
    <numFmt numFmtId="182" formatCode="0.00&quot;°&quot;"/>
    <numFmt numFmtId="183" formatCode="&quot;x = &quot;0.0\ &quot;m&quot;;&quot;x = &quot;\-0.0\ &quot;m&quot;"/>
    <numFmt numFmtId="184" formatCode="&quot;y = &quot;0.0\ &quot;m&quot;;&quot;y = &quot;\-0.0\ &quot;m&quot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11"/>
      <color theme="2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9" tint="0.79998168889431442"/>
      </right>
      <top style="thin">
        <color theme="0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0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0"/>
      </right>
      <top style="thin">
        <color theme="0"/>
      </top>
      <bottom style="thin">
        <color theme="9" tint="0.79998168889431442"/>
      </bottom>
      <diagonal/>
    </border>
    <border>
      <left style="thin">
        <color theme="0"/>
      </left>
      <right style="thin">
        <color theme="9" tint="0.79998168889431442"/>
      </right>
      <top style="thin">
        <color theme="9" tint="0.79998168889431442"/>
      </top>
      <bottom style="thin">
        <color theme="0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0"/>
      </bottom>
      <diagonal/>
    </border>
    <border>
      <left style="thin">
        <color theme="9" tint="0.79998168889431442"/>
      </left>
      <right style="thin">
        <color theme="0"/>
      </right>
      <top style="thin">
        <color theme="9" tint="0.79998168889431442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0.79998168889431442"/>
      </left>
      <right/>
      <top style="thin">
        <color theme="0"/>
      </top>
      <bottom style="thin">
        <color theme="9" tint="0.79998168889431442"/>
      </bottom>
      <diagonal/>
    </border>
    <border>
      <left/>
      <right/>
      <top style="thin">
        <color theme="0"/>
      </top>
      <bottom style="thin">
        <color theme="9" tint="0.79998168889431442"/>
      </bottom>
      <diagonal/>
    </border>
    <border>
      <left/>
      <right style="thin">
        <color theme="0"/>
      </right>
      <top style="thin">
        <color theme="0"/>
      </top>
      <bottom style="thin">
        <color theme="9" tint="0.79998168889431442"/>
      </bottom>
      <diagonal/>
    </border>
    <border>
      <left style="thin">
        <color theme="9" tint="0.79998168889431442"/>
      </left>
      <right/>
      <top style="thin">
        <color theme="9" tint="0.79998168889431442"/>
      </top>
      <bottom style="thin">
        <color theme="0"/>
      </bottom>
      <diagonal/>
    </border>
    <border>
      <left/>
      <right/>
      <top style="thin">
        <color theme="9" tint="0.79998168889431442"/>
      </top>
      <bottom style="thin">
        <color theme="0"/>
      </bottom>
      <diagonal/>
    </border>
    <border>
      <left/>
      <right style="thin">
        <color theme="0"/>
      </right>
      <top style="thin">
        <color theme="9" tint="0.79998168889431442"/>
      </top>
      <bottom style="thin">
        <color theme="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/>
    <xf numFmtId="168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8" fontId="1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70" fontId="1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171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2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166" fontId="0" fillId="0" borderId="0" xfId="0" applyNumberFormat="1" applyAlignment="1">
      <alignment horizontal="center"/>
    </xf>
    <xf numFmtId="169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9" fontId="12" fillId="0" borderId="0" xfId="0" applyNumberFormat="1" applyFont="1" applyAlignment="1">
      <alignment horizontal="center"/>
    </xf>
    <xf numFmtId="0" fontId="2" fillId="0" borderId="0" xfId="0" applyFont="1"/>
    <xf numFmtId="165" fontId="11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173" fontId="5" fillId="0" borderId="1" xfId="0" applyNumberFormat="1" applyFont="1" applyBorder="1"/>
    <xf numFmtId="174" fontId="5" fillId="0" borderId="1" xfId="0" applyNumberFormat="1" applyFont="1" applyBorder="1"/>
    <xf numFmtId="175" fontId="5" fillId="0" borderId="1" xfId="0" applyNumberFormat="1" applyFont="1" applyBorder="1" applyAlignment="1">
      <alignment horizontal="left"/>
    </xf>
    <xf numFmtId="176" fontId="5" fillId="0" borderId="1" xfId="0" applyNumberFormat="1" applyFont="1" applyBorder="1" applyAlignment="1">
      <alignment horizontal="left"/>
    </xf>
    <xf numFmtId="169" fontId="1" fillId="0" borderId="0" xfId="0" applyNumberFormat="1" applyFont="1" applyAlignment="1">
      <alignment horizontal="center"/>
    </xf>
    <xf numFmtId="0" fontId="0" fillId="2" borderId="6" xfId="0" applyFill="1" applyBorder="1"/>
    <xf numFmtId="0" fontId="0" fillId="2" borderId="8" xfId="0" applyFill="1" applyBorder="1"/>
    <xf numFmtId="164" fontId="5" fillId="2" borderId="9" xfId="0" applyNumberFormat="1" applyFont="1" applyFill="1" applyBorder="1" applyAlignment="1">
      <alignment horizontal="center"/>
    </xf>
    <xf numFmtId="0" fontId="0" fillId="2" borderId="9" xfId="0" applyFill="1" applyBorder="1"/>
    <xf numFmtId="169" fontId="5" fillId="2" borderId="6" xfId="0" applyNumberFormat="1" applyFont="1" applyFill="1" applyBorder="1" applyAlignment="1" applyProtection="1">
      <alignment horizontal="center"/>
      <protection locked="0"/>
    </xf>
    <xf numFmtId="169" fontId="5" fillId="2" borderId="9" xfId="0" applyNumberFormat="1" applyFont="1" applyFill="1" applyBorder="1" applyAlignment="1" applyProtection="1">
      <alignment horizontal="center"/>
      <protection locked="0"/>
    </xf>
    <xf numFmtId="172" fontId="5" fillId="2" borderId="7" xfId="0" applyNumberFormat="1" applyFont="1" applyFill="1" applyBorder="1" applyAlignment="1" applyProtection="1">
      <alignment horizontal="center"/>
      <protection locked="0"/>
    </xf>
    <xf numFmtId="172" fontId="5" fillId="2" borderId="10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177" fontId="0" fillId="0" borderId="0" xfId="0" applyNumberFormat="1" applyFont="1" applyAlignment="1">
      <alignment horizontal="center"/>
    </xf>
    <xf numFmtId="178" fontId="0" fillId="0" borderId="1" xfId="0" applyNumberFormat="1" applyBorder="1"/>
    <xf numFmtId="178" fontId="5" fillId="0" borderId="3" xfId="0" applyNumberFormat="1" applyFont="1" applyBorder="1" applyAlignment="1"/>
    <xf numFmtId="0" fontId="0" fillId="0" borderId="11" xfId="0" applyBorder="1"/>
    <xf numFmtId="0" fontId="1" fillId="0" borderId="1" xfId="0" applyFont="1" applyBorder="1" applyAlignment="1">
      <alignment vertical="center"/>
    </xf>
    <xf numFmtId="167" fontId="1" fillId="0" borderId="0" xfId="0" applyNumberFormat="1" applyFont="1" applyAlignment="1" applyProtection="1">
      <alignment horizontal="center"/>
    </xf>
    <xf numFmtId="167" fontId="1" fillId="0" borderId="0" xfId="0" applyNumberFormat="1" applyFont="1" applyAlignment="1" applyProtection="1">
      <alignment horizontal="center"/>
      <protection locked="0"/>
    </xf>
    <xf numFmtId="1" fontId="12" fillId="0" borderId="0" xfId="0" applyNumberFormat="1" applyFont="1" applyAlignment="1">
      <alignment horizontal="center"/>
    </xf>
    <xf numFmtId="0" fontId="0" fillId="0" borderId="0" xfId="0" applyAlignment="1"/>
    <xf numFmtId="180" fontId="5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right"/>
    </xf>
    <xf numFmtId="0" fontId="17" fillId="0" borderId="1" xfId="0" applyFont="1" applyBorder="1"/>
    <xf numFmtId="0" fontId="1" fillId="0" borderId="1" xfId="0" applyFont="1" applyBorder="1" applyAlignment="1">
      <alignment horizontal="center"/>
    </xf>
    <xf numFmtId="177" fontId="1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177" fontId="20" fillId="0" borderId="0" xfId="0" applyNumberFormat="1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right"/>
    </xf>
    <xf numFmtId="18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9" fontId="0" fillId="0" borderId="0" xfId="0" applyNumberFormat="1" applyAlignment="1">
      <alignment horizontal="center"/>
    </xf>
    <xf numFmtId="169" fontId="0" fillId="0" borderId="0" xfId="0" applyNumberFormat="1" applyFont="1" applyAlignment="1">
      <alignment horizontal="center"/>
    </xf>
    <xf numFmtId="182" fontId="1" fillId="0" borderId="0" xfId="0" applyNumberFormat="1" applyFont="1" applyAlignment="1">
      <alignment horizontal="center"/>
    </xf>
    <xf numFmtId="183" fontId="16" fillId="0" borderId="1" xfId="0" applyNumberFormat="1" applyFont="1" applyBorder="1" applyAlignment="1">
      <alignment horizontal="center"/>
    </xf>
    <xf numFmtId="184" fontId="16" fillId="0" borderId="1" xfId="0" applyNumberFormat="1" applyFont="1" applyBorder="1" applyAlignment="1">
      <alignment horizontal="center"/>
    </xf>
    <xf numFmtId="164" fontId="5" fillId="2" borderId="6" xfId="0" applyNumberFormat="1" applyFont="1" applyFill="1" applyBorder="1" applyAlignment="1" applyProtection="1">
      <alignment horizontal="center"/>
      <protection locked="0"/>
    </xf>
    <xf numFmtId="164" fontId="5" fillId="2" borderId="9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Border="1" applyProtection="1">
      <protection locked="0"/>
    </xf>
    <xf numFmtId="177" fontId="0" fillId="0" borderId="0" xfId="0" applyNumberFormat="1"/>
    <xf numFmtId="0" fontId="1" fillId="0" borderId="0" xfId="0" applyFont="1" applyAlignment="1">
      <alignment horizontal="left"/>
    </xf>
    <xf numFmtId="179" fontId="5" fillId="0" borderId="2" xfId="0" applyNumberFormat="1" applyFont="1" applyBorder="1" applyAlignment="1">
      <alignment horizontal="right"/>
    </xf>
    <xf numFmtId="179" fontId="5" fillId="0" borderId="3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" fillId="2" borderId="6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9" fillId="0" borderId="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/>
    </xf>
    <xf numFmtId="0" fontId="18" fillId="0" borderId="2" xfId="0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left"/>
    </xf>
    <xf numFmtId="0" fontId="15" fillId="2" borderId="13" xfId="0" applyFont="1" applyFill="1" applyBorder="1" applyAlignment="1">
      <alignment horizontal="left"/>
    </xf>
    <xf numFmtId="0" fontId="15" fillId="2" borderId="14" xfId="0" applyFont="1" applyFill="1" applyBorder="1" applyAlignment="1">
      <alignment horizontal="left"/>
    </xf>
    <xf numFmtId="0" fontId="15" fillId="2" borderId="15" xfId="0" applyFont="1" applyFill="1" applyBorder="1" applyAlignment="1">
      <alignment horizontal="left"/>
    </xf>
    <xf numFmtId="0" fontId="15" fillId="2" borderId="16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532844</xdr:colOff>
      <xdr:row>8</xdr:row>
      <xdr:rowOff>135033</xdr:rowOff>
    </xdr:from>
    <xdr:to>
      <xdr:col>23</xdr:col>
      <xdr:colOff>840577</xdr:colOff>
      <xdr:row>28</xdr:row>
      <xdr:rowOff>142874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16584BA4-184B-4BE7-9915-6E0873EFC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1694" y="1954308"/>
          <a:ext cx="10497102" cy="41988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</xdr:colOff>
          <xdr:row>2</xdr:row>
          <xdr:rowOff>0</xdr:rowOff>
        </xdr:from>
        <xdr:to>
          <xdr:col>1</xdr:col>
          <xdr:colOff>284342</xdr:colOff>
          <xdr:row>15</xdr:row>
          <xdr:rowOff>12066</xdr:rowOff>
        </xdr:to>
        <xdr:pic>
          <xdr:nvPicPr>
            <xdr:cNvPr id="6" name="Grafik 5"/>
            <xdr:cNvPicPr>
              <a:picLocks noChangeAspect="1" noChangeArrowheads="1"/>
              <a:extLst>
                <a:ext uri="{84589F7E-364E-4C9E-8A38-B11213B215E9}">
                  <a14:cameraTool cellRange="ZL_125" spid="_x0000_s145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19077" y="457200"/>
              <a:ext cx="284340" cy="308864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219074</xdr:colOff>
          <xdr:row>15</xdr:row>
          <xdr:rowOff>1</xdr:rowOff>
        </xdr:from>
        <xdr:to>
          <xdr:col>1</xdr:col>
          <xdr:colOff>284339</xdr:colOff>
          <xdr:row>31</xdr:row>
          <xdr:rowOff>40642</xdr:rowOff>
        </xdr:to>
        <xdr:pic>
          <xdr:nvPicPr>
            <xdr:cNvPr id="11" name="Grafik 10"/>
            <xdr:cNvPicPr>
              <a:picLocks noChangeAspect="1" noChangeArrowheads="1"/>
              <a:extLst>
                <a:ext uri="{84589F7E-364E-4C9E-8A38-B11213B215E9}">
                  <a14:cameraTool cellRange="ZL_250" spid="_x0000_s145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19074" y="3533776"/>
              <a:ext cx="284340" cy="308864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</xdr:colOff>
          <xdr:row>31</xdr:row>
          <xdr:rowOff>28575</xdr:rowOff>
        </xdr:from>
        <xdr:to>
          <xdr:col>1</xdr:col>
          <xdr:colOff>284341</xdr:colOff>
          <xdr:row>47</xdr:row>
          <xdr:rowOff>69216</xdr:rowOff>
        </xdr:to>
        <xdr:pic>
          <xdr:nvPicPr>
            <xdr:cNvPr id="12" name="Grafik 11"/>
            <xdr:cNvPicPr>
              <a:picLocks noChangeAspect="1" noChangeArrowheads="1"/>
              <a:extLst>
                <a:ext uri="{84589F7E-364E-4C9E-8A38-B11213B215E9}">
                  <a14:cameraTool cellRange="ZL_375" spid="_x0000_s145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19076" y="6610350"/>
              <a:ext cx="284340" cy="308864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3135</xdr:colOff>
      <xdr:row>0</xdr:row>
      <xdr:rowOff>3600000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0"/>
          <a:ext cx="317460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115275</xdr:colOff>
      <xdr:row>2</xdr:row>
      <xdr:rowOff>125107</xdr:rowOff>
    </xdr:to>
    <xdr:pic>
      <xdr:nvPicPr>
        <xdr:cNvPr id="9" name="Grafik 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3600450"/>
          <a:ext cx="1191600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17318</xdr:rowOff>
    </xdr:from>
    <xdr:to>
      <xdr:col>2</xdr:col>
      <xdr:colOff>3836</xdr:colOff>
      <xdr:row>3</xdr:row>
      <xdr:rowOff>41955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00454"/>
          <a:ext cx="315563" cy="36268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17318</xdr:rowOff>
    </xdr:from>
    <xdr:to>
      <xdr:col>2</xdr:col>
      <xdr:colOff>1172</xdr:colOff>
      <xdr:row>4</xdr:row>
      <xdr:rowOff>15136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0702636"/>
          <a:ext cx="312899" cy="3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5"/>
  <sheetViews>
    <sheetView tabSelected="1" zoomScaleNormal="100" workbookViewId="0">
      <selection activeCell="P7" sqref="P7"/>
    </sheetView>
  </sheetViews>
  <sheetFormatPr baseColWidth="10" defaultColWidth="11.42578125" defaultRowHeight="15" x14ac:dyDescent="0.25"/>
  <cols>
    <col min="1" max="1" width="3.28515625" style="24" customWidth="1"/>
    <col min="2" max="2" width="10.140625" style="24" customWidth="1"/>
    <col min="3" max="3" width="12" style="24" customWidth="1"/>
    <col min="4" max="4" width="5" style="24" customWidth="1"/>
    <col min="5" max="5" width="4.140625" style="24" customWidth="1"/>
    <col min="6" max="6" width="11.7109375" style="24" customWidth="1"/>
    <col min="7" max="7" width="12.140625" style="24" customWidth="1"/>
    <col min="8" max="8" width="10" style="24" customWidth="1"/>
    <col min="9" max="9" width="12.7109375" style="24" customWidth="1"/>
    <col min="10" max="10" width="9.42578125" style="24" customWidth="1"/>
    <col min="11" max="11" width="16.5703125" style="24" customWidth="1"/>
    <col min="12" max="12" width="8.85546875" style="24" customWidth="1"/>
    <col min="13" max="13" width="3.140625" style="24" customWidth="1"/>
    <col min="14" max="14" width="14.5703125" style="24" customWidth="1"/>
    <col min="15" max="15" width="3.140625" style="24" customWidth="1"/>
    <col min="16" max="16" width="14.85546875" style="24" customWidth="1"/>
    <col min="17" max="17" width="12.28515625" style="24" bestFit="1" customWidth="1"/>
    <col min="18" max="19" width="11.42578125" style="24"/>
    <col min="20" max="20" width="11.42578125" style="24" customWidth="1"/>
    <col min="21" max="22" width="11.42578125" style="24"/>
    <col min="23" max="23" width="22.140625" style="24" customWidth="1"/>
    <col min="24" max="24" width="26" style="24" customWidth="1"/>
    <col min="25" max="16384" width="11.42578125" style="24"/>
  </cols>
  <sheetData>
    <row r="1" spans="1:26" ht="21" x14ac:dyDescent="0.35">
      <c r="A1" s="88" t="s">
        <v>33</v>
      </c>
      <c r="B1" s="89"/>
      <c r="C1" s="89"/>
      <c r="D1" s="89"/>
      <c r="E1" s="90"/>
    </row>
    <row r="3" spans="1:26" ht="18.75" x14ac:dyDescent="0.3">
      <c r="F3" s="51" t="s">
        <v>66</v>
      </c>
      <c r="H3" s="79" t="s">
        <v>63</v>
      </c>
      <c r="J3" s="100" t="s">
        <v>88</v>
      </c>
      <c r="K3" s="101"/>
      <c r="L3" s="102" t="s">
        <v>90</v>
      </c>
      <c r="M3" s="103"/>
      <c r="N3" s="103"/>
      <c r="O3" s="103"/>
      <c r="P3" s="104"/>
    </row>
    <row r="4" spans="1:26" x14ac:dyDescent="0.25">
      <c r="C4" s="25" t="s">
        <v>15</v>
      </c>
    </row>
    <row r="5" spans="1:26" ht="28.5" customHeight="1" x14ac:dyDescent="0.25">
      <c r="C5" s="25"/>
      <c r="E5" s="93" t="s">
        <v>91</v>
      </c>
      <c r="F5" s="94"/>
      <c r="G5" s="94"/>
      <c r="H5" s="94"/>
      <c r="I5" s="94"/>
      <c r="J5" s="94"/>
      <c r="K5" s="94"/>
      <c r="L5" s="94"/>
      <c r="M5" s="95"/>
      <c r="R5" s="93" t="s">
        <v>92</v>
      </c>
      <c r="S5" s="94"/>
      <c r="T5" s="94"/>
      <c r="U5" s="94"/>
      <c r="V5" s="94"/>
      <c r="W5" s="94"/>
      <c r="X5" s="94"/>
      <c r="Y5" s="94"/>
      <c r="Z5" s="95"/>
    </row>
    <row r="6" spans="1:26" x14ac:dyDescent="0.25">
      <c r="C6" s="25"/>
      <c r="E6" s="86" t="s">
        <v>44</v>
      </c>
      <c r="F6" s="87"/>
      <c r="G6" s="87"/>
      <c r="H6" s="47">
        <v>1.2</v>
      </c>
      <c r="I6" s="43"/>
      <c r="J6" s="91" t="s">
        <v>40</v>
      </c>
      <c r="K6" s="91"/>
      <c r="L6" s="47">
        <v>0.8</v>
      </c>
      <c r="M6" s="91" t="s">
        <v>42</v>
      </c>
      <c r="N6" s="91"/>
      <c r="O6" s="91"/>
      <c r="P6" s="49">
        <v>3</v>
      </c>
      <c r="Q6" s="36"/>
      <c r="R6" s="86" t="s">
        <v>93</v>
      </c>
      <c r="S6" s="87"/>
      <c r="T6" s="77">
        <v>20</v>
      </c>
      <c r="U6" s="107" t="s">
        <v>126</v>
      </c>
      <c r="V6" s="108"/>
      <c r="W6" s="108"/>
      <c r="X6" s="109"/>
    </row>
    <row r="7" spans="1:26" x14ac:dyDescent="0.25">
      <c r="C7" s="25" t="s">
        <v>16</v>
      </c>
      <c r="E7" s="44"/>
      <c r="F7" s="96"/>
      <c r="G7" s="96"/>
      <c r="H7" s="45"/>
      <c r="I7" s="46"/>
      <c r="J7" s="92" t="s">
        <v>41</v>
      </c>
      <c r="K7" s="92"/>
      <c r="L7" s="48">
        <v>1.6</v>
      </c>
      <c r="M7" s="92" t="s">
        <v>43</v>
      </c>
      <c r="N7" s="92"/>
      <c r="O7" s="92"/>
      <c r="P7" s="50">
        <v>25</v>
      </c>
      <c r="R7" s="105" t="s">
        <v>94</v>
      </c>
      <c r="S7" s="106"/>
      <c r="T7" s="78">
        <v>0</v>
      </c>
      <c r="U7" s="110" t="s">
        <v>103</v>
      </c>
      <c r="V7" s="111"/>
      <c r="W7" s="111"/>
      <c r="X7" s="112"/>
    </row>
    <row r="8" spans="1:26" x14ac:dyDescent="0.25">
      <c r="L8" s="36"/>
    </row>
    <row r="9" spans="1:26" x14ac:dyDescent="0.25">
      <c r="X9" s="25" t="s">
        <v>38</v>
      </c>
    </row>
    <row r="10" spans="1:26" s="26" customFormat="1" ht="45" customHeight="1" x14ac:dyDescent="0.25">
      <c r="C10" s="56" t="s">
        <v>17</v>
      </c>
      <c r="E10" s="97" t="s">
        <v>0</v>
      </c>
      <c r="F10" s="98"/>
      <c r="G10" s="98"/>
      <c r="H10" s="98"/>
      <c r="I10" s="99"/>
    </row>
    <row r="11" spans="1:26" x14ac:dyDescent="0.25">
      <c r="N11" s="62" t="s">
        <v>87</v>
      </c>
      <c r="O11" s="63"/>
      <c r="P11" s="75">
        <f>xFok</f>
        <v>-12091.833673387606</v>
      </c>
    </row>
    <row r="12" spans="1:26" x14ac:dyDescent="0.25">
      <c r="C12" s="25"/>
      <c r="G12" s="25" t="s">
        <v>5</v>
      </c>
      <c r="I12" s="84" t="s">
        <v>6</v>
      </c>
      <c r="J12" s="85"/>
      <c r="P12" s="76">
        <f>yFok</f>
        <v>4403.517572766903</v>
      </c>
      <c r="X12" s="64" t="s">
        <v>39</v>
      </c>
    </row>
    <row r="13" spans="1:26" x14ac:dyDescent="0.25">
      <c r="C13" s="25" t="s">
        <v>18</v>
      </c>
      <c r="K13" s="82">
        <f>IF(Modell="ZL 125",1.25, IF(Modell="ZL 200",2, IF(Modell="ZL 250",2.5, IF(Modell="ZL 375",3.75,"n.a."))))</f>
        <v>2.5</v>
      </c>
      <c r="L13" s="83"/>
      <c r="M13" s="54"/>
    </row>
    <row r="14" spans="1:26" x14ac:dyDescent="0.25">
      <c r="F14" s="34" t="s">
        <v>1</v>
      </c>
      <c r="G14" s="32">
        <f>I14/c_schall</f>
        <v>0</v>
      </c>
      <c r="I14" s="33">
        <f>delay_G1*1000</f>
        <v>0</v>
      </c>
    </row>
    <row r="15" spans="1:26" x14ac:dyDescent="0.25">
      <c r="F15" s="34"/>
      <c r="I15" s="33"/>
    </row>
    <row r="16" spans="1:26" x14ac:dyDescent="0.25">
      <c r="F16" s="34" t="s">
        <v>2</v>
      </c>
      <c r="G16" s="32">
        <f>I16/c_schall</f>
        <v>0.30569224578250537</v>
      </c>
      <c r="I16" s="33">
        <f>delay_G2*1000</f>
        <v>103.93536356605182</v>
      </c>
    </row>
    <row r="17" spans="3:24" x14ac:dyDescent="0.25">
      <c r="C17" s="25" t="str">
        <f>IF(Modell="ZL 125","","Gruppe 5")</f>
        <v>Gruppe 5</v>
      </c>
      <c r="F17" s="34"/>
      <c r="I17" s="33"/>
    </row>
    <row r="18" spans="3:24" x14ac:dyDescent="0.25">
      <c r="C18" s="25"/>
      <c r="F18" s="34" t="s">
        <v>3</v>
      </c>
      <c r="G18" s="32">
        <f>I18/c_schall</f>
        <v>0.61142179742198688</v>
      </c>
      <c r="I18" s="33">
        <f>delay_G3*1000</f>
        <v>207.88341112347553</v>
      </c>
      <c r="N18" s="38">
        <f>OKHB</f>
        <v>1.6</v>
      </c>
    </row>
    <row r="19" spans="3:24" x14ac:dyDescent="0.25">
      <c r="F19" s="34"/>
      <c r="I19" s="33"/>
    </row>
    <row r="20" spans="3:24" x14ac:dyDescent="0.25">
      <c r="C20" s="25"/>
      <c r="F20" s="34" t="s">
        <v>4</v>
      </c>
      <c r="G20" s="32">
        <f>I20/c_schall</f>
        <v>0.91718865446369713</v>
      </c>
      <c r="I20" s="33">
        <f>delay_G4*1000</f>
        <v>311.84414251765702</v>
      </c>
    </row>
    <row r="21" spans="3:24" x14ac:dyDescent="0.25">
      <c r="C21" s="25" t="str">
        <f>IF(Modell="ZL 125","","Gruppe 6")</f>
        <v>Gruppe 6</v>
      </c>
      <c r="F21" s="34"/>
      <c r="I21" s="33"/>
    </row>
    <row r="22" spans="3:24" x14ac:dyDescent="0.25">
      <c r="C22" s="25"/>
      <c r="F22" s="25" t="str">
        <f>IF(Modell="ZL 125","","Out 5:")</f>
        <v>Out 5:</v>
      </c>
      <c r="G22" s="32">
        <f>IF(Modell="ZL 125","",I22/c_schall)</f>
        <v>1.2571969171564406</v>
      </c>
      <c r="I22" s="33">
        <f>IF(Modell="ZL 125","",delay_G5*1000)</f>
        <v>427.44695183318981</v>
      </c>
      <c r="N22" s="39">
        <f>UKHB</f>
        <v>0.8</v>
      </c>
    </row>
    <row r="23" spans="3:24" x14ac:dyDescent="0.25">
      <c r="F23" s="34"/>
      <c r="I23" s="33"/>
      <c r="K23" s="61">
        <f>UKLS</f>
        <v>1.2</v>
      </c>
    </row>
    <row r="24" spans="3:24" x14ac:dyDescent="0.25">
      <c r="F24" s="25" t="str">
        <f>IF(Modell="ZL 125","","Out 6:")</f>
        <v>Out 6:</v>
      </c>
      <c r="G24" s="32">
        <f>IF(Modell="ZL 125","",I24/c_schall)</f>
        <v>1.5630425558276115</v>
      </c>
      <c r="I24" s="33">
        <f>IF(Modell="ZL 125","",delay_G6*1000)</f>
        <v>531.43446898138791</v>
      </c>
    </row>
    <row r="25" spans="3:24" x14ac:dyDescent="0.25">
      <c r="C25" s="25" t="str">
        <f>IF(Modell="ZL 125","",IF(Modell="ZL 200","","Gruppe 7"))</f>
        <v>Gruppe 7</v>
      </c>
      <c r="F25" s="34"/>
      <c r="I25" s="33"/>
    </row>
    <row r="26" spans="3:24" x14ac:dyDescent="0.25">
      <c r="C26" s="25"/>
      <c r="F26" s="25" t="str">
        <f>IF(Modell="ZL 125","",IF(Modell="ZL 200","","Out 7:"))</f>
        <v>Out 7:</v>
      </c>
      <c r="G26" s="32">
        <f>IF(Modell="ZL 125","",IF(Modell="ZL 200","",I26/c_schall))</f>
        <v>1.8689254984832695</v>
      </c>
      <c r="I26" s="33">
        <f>IF(Modell="ZL 125","",IF(Modell="ZL 200","",delay_G7*1000))</f>
        <v>635.4346694843116</v>
      </c>
      <c r="K26" s="35" t="s">
        <v>45</v>
      </c>
      <c r="P26" s="40">
        <f>StHB</f>
        <v>3</v>
      </c>
      <c r="X26" s="41">
        <f>EndeHB</f>
        <v>25</v>
      </c>
    </row>
    <row r="27" spans="3:24" x14ac:dyDescent="0.25">
      <c r="F27" s="34"/>
      <c r="I27" s="33"/>
    </row>
    <row r="28" spans="3:24" x14ac:dyDescent="0.25">
      <c r="F28" s="25" t="str">
        <f>IF(Modell="ZL 125","",IF(Modell="ZL 200","","Out 8:"))</f>
        <v>Out 8:</v>
      </c>
      <c r="G28" s="32">
        <f>IF(Modell="ZL 125","",IF(Modell="ZL 200","",I28/c_schall))</f>
        <v>2.1748457447007667</v>
      </c>
      <c r="I28" s="33">
        <f>IF(Modell="ZL 125","",IF(Modell="ZL 200","",delay_G8*1000))</f>
        <v>739.44755319826072</v>
      </c>
    </row>
    <row r="29" spans="3:24" x14ac:dyDescent="0.25">
      <c r="C29" s="25" t="str">
        <f>IF(Modell="ZL 125","",IF(Modell="ZL 200","","Gruppe 8"))</f>
        <v>Gruppe 8</v>
      </c>
      <c r="F29" s="34"/>
      <c r="I29" s="33"/>
      <c r="K29" s="37" t="s">
        <v>46</v>
      </c>
    </row>
    <row r="30" spans="3:24" x14ac:dyDescent="0.25">
      <c r="C30" s="25"/>
      <c r="F30" s="25" t="str">
        <f>IF(Modell="ZL 375","Out 9:","")</f>
        <v/>
      </c>
      <c r="G30" s="32" t="str">
        <f>IF(Modell="ZL 375",I30/c_schall,"")</f>
        <v/>
      </c>
      <c r="I30" s="33" t="str">
        <f>IF(Modell="ZL 375",delay_G9*1000,"")</f>
        <v/>
      </c>
    </row>
    <row r="31" spans="3:24" x14ac:dyDescent="0.25">
      <c r="F31" s="34"/>
      <c r="I31" s="33"/>
    </row>
    <row r="32" spans="3:24" x14ac:dyDescent="0.25">
      <c r="F32" s="25" t="str">
        <f>IF(Modell="ZL 375","Out 10:","")</f>
        <v/>
      </c>
      <c r="G32" s="32" t="str">
        <f>IF(Modell="ZL 375",I32/c_schall,"")</f>
        <v/>
      </c>
      <c r="I32" s="33" t="str">
        <f>IF(Modell="ZL 375",delay_G10*1000,"")</f>
        <v/>
      </c>
    </row>
    <row r="33" spans="3:11" ht="14.45" x14ac:dyDescent="0.3">
      <c r="C33" s="25" t="str">
        <f>IF(Modell="ZL 375","Gruppe 9","")</f>
        <v/>
      </c>
      <c r="F33" s="34"/>
      <c r="I33" s="33"/>
      <c r="K33" s="53"/>
    </row>
    <row r="34" spans="3:11" ht="14.45" x14ac:dyDescent="0.3">
      <c r="C34" s="25"/>
      <c r="F34" s="25" t="str">
        <f>IF(Modell="ZL 375","Out 11:","")</f>
        <v/>
      </c>
      <c r="G34" s="32" t="str">
        <f>IF(Modell="ZL 375",I34/c_schall,"")</f>
        <v/>
      </c>
      <c r="I34" s="33" t="str">
        <f>IF(Modell="ZL 375",delay_G11*1000,"")</f>
        <v/>
      </c>
    </row>
    <row r="35" spans="3:11" ht="14.45" x14ac:dyDescent="0.3">
      <c r="F35" s="34"/>
      <c r="I35" s="33"/>
    </row>
    <row r="36" spans="3:11" ht="14.45" x14ac:dyDescent="0.3">
      <c r="C36" s="25"/>
      <c r="F36" s="25" t="str">
        <f>IF(Modell="ZL 375","Out 12:","")</f>
        <v/>
      </c>
      <c r="G36" s="32" t="str">
        <f>IF(Modell="ZL 375",I36/c_schall,"")</f>
        <v/>
      </c>
      <c r="I36" s="33" t="str">
        <f>IF(Modell="ZL 375",delay_G12*1000,"")</f>
        <v/>
      </c>
    </row>
    <row r="37" spans="3:11" ht="14.45" x14ac:dyDescent="0.3">
      <c r="C37" s="25" t="str">
        <f>IF(Modell="ZL 375","Gruppe 10","")</f>
        <v/>
      </c>
    </row>
    <row r="41" spans="3:11" ht="14.45" x14ac:dyDescent="0.3">
      <c r="C41" s="25" t="str">
        <f>IF(Modell="ZL 375","Gruppe 11","")</f>
        <v/>
      </c>
    </row>
    <row r="45" spans="3:11" ht="14.45" x14ac:dyDescent="0.3">
      <c r="C45" s="25" t="str">
        <f>IF(Modell="ZL 375","Gruppe 12","")</f>
        <v/>
      </c>
    </row>
  </sheetData>
  <sheetProtection password="9355" sheet="1" objects="1" scenarios="1" selectLockedCells="1"/>
  <mergeCells count="18">
    <mergeCell ref="R5:Z5"/>
    <mergeCell ref="R6:S6"/>
    <mergeCell ref="R7:S7"/>
    <mergeCell ref="U6:X6"/>
    <mergeCell ref="U7:X7"/>
    <mergeCell ref="K13:L13"/>
    <mergeCell ref="I12:J12"/>
    <mergeCell ref="E6:G6"/>
    <mergeCell ref="A1:E1"/>
    <mergeCell ref="J6:K6"/>
    <mergeCell ref="J7:K7"/>
    <mergeCell ref="E5:M5"/>
    <mergeCell ref="M6:O6"/>
    <mergeCell ref="M7:O7"/>
    <mergeCell ref="F7:G7"/>
    <mergeCell ref="E10:I10"/>
    <mergeCell ref="J3:K3"/>
    <mergeCell ref="L3:P3"/>
  </mergeCells>
  <conditionalFormatting sqref="G26 G22 G28 G30 G32 G34 G36 G14 G16 G18 G20 G24">
    <cfRule type="dataBar" priority="1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{877B7F37-09D4-41B7-A3C2-706B1F645705}</x14:id>
        </ext>
      </extLst>
    </cfRule>
  </conditionalFormatting>
  <conditionalFormatting sqref="G26 G22 G28 G30 G32 G34 G36 G14 G16 G18 G20 G24">
    <cfRule type="dataBar" priority="35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{8B702D59-B17D-4300-B7BF-DA4EE453138C}</x14:id>
        </ext>
      </extLst>
    </cfRule>
  </conditionalFormatting>
  <conditionalFormatting sqref="I14 I16 I18 I20 I22 I26 I28 I30 I32 I34 I36 I24">
    <cfRule type="dataBar" priority="83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{0F4461E4-3979-481F-93C8-26688762B346}</x14:id>
        </ext>
      </extLst>
    </cfRule>
  </conditionalFormatting>
  <conditionalFormatting sqref="I14 I16 I18 I20 I22 I26 I28 I30 I32 I34 I36 I24">
    <cfRule type="dataBar" priority="9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{162C4273-FD5C-4771-ADCA-8A385C131B05}</x14:id>
        </ext>
      </extLst>
    </cfRule>
  </conditionalFormatting>
  <conditionalFormatting sqref="G26 G22 G28 G30 G32 G34 G36 G14 G16 G18 G20 G24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{68BE1C4E-422D-4F24-8074-124599187123}</x14:id>
        </ext>
      </extLst>
    </cfRule>
  </conditionalFormatting>
  <conditionalFormatting sqref="G14:G36">
    <cfRule type="dataBar" priority="1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{C07B4806-CC1D-4E5B-AB7F-8A284A9F96D5}</x14:id>
        </ext>
      </extLst>
    </cfRule>
    <cfRule type="dataBar" priority="5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{FDA242C6-9195-4A46-B8D8-5E9033987858}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{0FBEBFE7-6220-4D22-A1E0-8B0AEA100682}</x14:id>
        </ext>
      </extLst>
    </cfRule>
  </conditionalFormatting>
  <conditionalFormatting sqref="I14:I36">
    <cfRule type="dataBar" priority="2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{4A5E2B90-722D-4BA0-A1A4-E2A98B9A6E30}</x14:id>
        </ext>
      </extLst>
    </cfRule>
    <cfRule type="dataBar" priority="3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{0A2CEAB3-6087-4721-A02F-3DD8C1730FDE}</x14:id>
        </ext>
      </extLst>
    </cfRule>
    <cfRule type="dataBar" priority="4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{20CA0479-65F7-4199-AB55-9FF0FDA8C3F7}</x14:id>
        </ext>
      </extLst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7B7F37-09D4-41B7-A3C2-706B1F645705}">
            <x14:dataBar minLength="0" maxLength="100" direction="rightToLeft">
              <x14:cfvo type="autoMin"/>
              <x14:cfvo type="autoMax"/>
              <x14:negativeFillColor rgb="FFFF0000"/>
              <x14:axisColor rgb="FF000000"/>
            </x14:dataBar>
          </x14:cfRule>
          <xm:sqref>G26 G22 G28 G30 G32 G34 G36 G14 G16 G18 G20 G24</xm:sqref>
        </x14:conditionalFormatting>
        <x14:conditionalFormatting xmlns:xm="http://schemas.microsoft.com/office/excel/2006/main">
          <x14:cfRule type="dataBar" id="{8B702D59-B17D-4300-B7BF-DA4EE453138C}">
            <x14:dataBar minLength="0" maxLength="100" direction="rightToLeft">
              <x14:cfvo type="autoMin"/>
              <x14:cfvo type="autoMax"/>
              <x14:negativeFillColor rgb="FFFF0000"/>
              <x14:axisColor rgb="FF000000"/>
            </x14:dataBar>
          </x14:cfRule>
          <xm:sqref>G26 G22 G28 G30 G32 G34 G36 G14 G16 G18 G20 G24</xm:sqref>
        </x14:conditionalFormatting>
        <x14:conditionalFormatting xmlns:xm="http://schemas.microsoft.com/office/excel/2006/main">
          <x14:cfRule type="dataBar" id="{0F4461E4-3979-481F-93C8-26688762B346}">
            <x14:dataBar minLength="0" maxLength="100" gradient="0" direction="rightToLeft">
              <x14:cfvo type="autoMin"/>
              <x14:cfvo type="autoMax"/>
              <x14:negativeFillColor rgb="FFFF0000"/>
              <x14:axisColor rgb="FF000000"/>
            </x14:dataBar>
          </x14:cfRule>
          <xm:sqref>I14 I16 I18 I20 I22 I26 I28 I30 I32 I34 I36 I24</xm:sqref>
        </x14:conditionalFormatting>
        <x14:conditionalFormatting xmlns:xm="http://schemas.microsoft.com/office/excel/2006/main">
          <x14:cfRule type="dataBar" id="{162C4273-FD5C-4771-ADCA-8A385C131B05}">
            <x14:dataBar minLength="0" maxLength="100" direction="rightToLeft">
              <x14:cfvo type="autoMin"/>
              <x14:cfvo type="autoMax"/>
              <x14:negativeFillColor rgb="FFFF0000"/>
              <x14:axisColor rgb="FF000000"/>
            </x14:dataBar>
          </x14:cfRule>
          <xm:sqref>I14 I16 I18 I20 I22 I26 I28 I30 I32 I34 I36 I24</xm:sqref>
        </x14:conditionalFormatting>
        <x14:conditionalFormatting xmlns:xm="http://schemas.microsoft.com/office/excel/2006/main">
          <x14:cfRule type="dataBar" id="{68BE1C4E-422D-4F24-8074-12459918712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 G22 G28 G30 G32 G34 G36 G14 G16 G18 G20 G24</xm:sqref>
        </x14:conditionalFormatting>
        <x14:conditionalFormatting xmlns:xm="http://schemas.microsoft.com/office/excel/2006/main">
          <x14:cfRule type="dataBar" id="{C07B4806-CC1D-4E5B-AB7F-8A284A9F96D5}">
            <x14:dataBar minLength="0" maxLength="100" gradient="0" direction="rightToLeft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A242C6-9195-4A46-B8D8-5E9033987858}">
            <x14:dataBar minLength="0" maxLength="100" direction="rightToLeft">
              <x14:cfvo type="autoMin"/>
              <x14:cfvo type="autoMax"/>
              <x14:negativeFillColor rgb="FFFF0000"/>
              <x14:axisColor rgb="FF000000"/>
            </x14:dataBar>
          </x14:cfRule>
          <x14:cfRule type="dataBar" id="{0FBEBFE7-6220-4D22-A1E0-8B0AEA10068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G14:G36</xm:sqref>
        </x14:conditionalFormatting>
        <x14:conditionalFormatting xmlns:xm="http://schemas.microsoft.com/office/excel/2006/main">
          <x14:cfRule type="dataBar" id="{4A5E2B90-722D-4BA0-A1A4-E2A98B9A6E30}">
            <x14:dataBar minLength="0" maxLength="100" gradient="0" direction="rightToLeft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2CEAB3-6087-4721-A02F-3DD8C1730F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0CA0479-65F7-4199-AB55-9FF0FDA8C3F7}">
            <x14:dataBar minLength="0" maxLength="100" direction="rightToLeft">
              <x14:cfvo type="autoMin"/>
              <x14:cfvo type="autoMax"/>
              <x14:negativeFillColor rgb="FFFF0000"/>
              <x14:axisColor rgb="FF000000"/>
            </x14:dataBar>
          </x14:cfRule>
          <xm:sqref>I14:I36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Berechnung!$AA$2:$AA$5</xm:f>
          </x14:formula1>
          <xm:sqref>H3</xm:sqref>
        </x14:dataValidation>
        <x14:dataValidation type="list" allowBlank="1" showInputMessage="1" showErrorMessage="1">
          <x14:formula1>
            <xm:f>Berechnung!$AB$2:$AB$3</xm:f>
          </x14:formula1>
          <xm:sqref>L3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workbookViewId="0">
      <selection activeCell="C22" sqref="C22"/>
    </sheetView>
  </sheetViews>
  <sheetFormatPr baseColWidth="10" defaultRowHeight="15" x14ac:dyDescent="0.25"/>
  <cols>
    <col min="1" max="1" width="41.85546875" style="13" bestFit="1" customWidth="1"/>
    <col min="2" max="2" width="22.85546875" style="4" bestFit="1" customWidth="1"/>
    <col min="3" max="3" width="11.85546875" style="8" customWidth="1"/>
    <col min="4" max="4" width="2.42578125" customWidth="1"/>
    <col min="5" max="5" width="21.140625" customWidth="1"/>
    <col min="6" max="7" width="12.5703125" bestFit="1" customWidth="1"/>
    <col min="8" max="8" width="15.7109375" bestFit="1" customWidth="1"/>
    <col min="9" max="9" width="14.7109375" bestFit="1" customWidth="1"/>
    <col min="10" max="11" width="10.7109375" customWidth="1"/>
    <col min="12" max="13" width="14.42578125" customWidth="1"/>
    <col min="14" max="14" width="2.7109375" customWidth="1"/>
    <col min="15" max="15" width="14.7109375" bestFit="1" customWidth="1"/>
    <col min="16" max="16" width="11.7109375" bestFit="1" customWidth="1"/>
    <col min="17" max="18" width="8.7109375" customWidth="1"/>
  </cols>
  <sheetData>
    <row r="1" spans="1:28" s="16" customFormat="1" ht="24" x14ac:dyDescent="0.25">
      <c r="A1" s="14"/>
      <c r="B1" s="19"/>
      <c r="C1" s="15"/>
      <c r="F1" s="17"/>
      <c r="G1" s="17"/>
      <c r="H1" s="17"/>
      <c r="I1" s="17" t="s">
        <v>14</v>
      </c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8" ht="15.75" x14ac:dyDescent="0.25">
      <c r="A2" s="11" t="s">
        <v>50</v>
      </c>
      <c r="B2" s="5" t="s">
        <v>52</v>
      </c>
      <c r="C2" s="42">
        <f>dUKLS +dChRd/1000 + AnzLS*dChass/1000*(AnzChass*AnzGrp-1)+(AnzLS-1)*dChRd/1000*2</f>
        <v>3.6449999999999996</v>
      </c>
      <c r="E2" s="1" t="s">
        <v>9</v>
      </c>
      <c r="F2" s="1" t="s">
        <v>7</v>
      </c>
      <c r="G2" s="1" t="s">
        <v>8</v>
      </c>
      <c r="H2" s="1"/>
      <c r="I2" s="2" t="s">
        <v>13</v>
      </c>
      <c r="J2" s="21" t="s">
        <v>32</v>
      </c>
      <c r="K2" s="21"/>
      <c r="L2" s="2" t="s">
        <v>25</v>
      </c>
      <c r="M2" s="21"/>
      <c r="N2" s="21"/>
      <c r="O2" s="1" t="s">
        <v>26</v>
      </c>
      <c r="P2" s="23"/>
      <c r="Q2" s="21"/>
      <c r="R2" s="21"/>
      <c r="S2" s="21"/>
      <c r="T2" s="21"/>
      <c r="U2" s="22"/>
      <c r="V2" s="1"/>
      <c r="AA2" s="31" t="s">
        <v>62</v>
      </c>
      <c r="AB2" t="s">
        <v>89</v>
      </c>
    </row>
    <row r="3" spans="1:28" x14ac:dyDescent="0.25">
      <c r="A3" s="12" t="s">
        <v>49</v>
      </c>
      <c r="B3" s="5" t="s">
        <v>51</v>
      </c>
      <c r="C3" s="42">
        <f>dUKLS+dChRd/1000</f>
        <v>1.2549999999999999</v>
      </c>
      <c r="E3" s="6" t="s">
        <v>106</v>
      </c>
      <c r="F3" s="10">
        <f>IF(Berechnung=AB2,xFok_HB,xFok_Winkel)</f>
        <v>-12091.833673387606</v>
      </c>
      <c r="G3" s="10">
        <f>IF(Berechnung="Hörbereich",yFok_HB,yFok_Winkel)</f>
        <v>4403.517572766903</v>
      </c>
      <c r="H3" s="10"/>
      <c r="I3" s="71" t="s">
        <v>62</v>
      </c>
      <c r="J3" s="42" t="s">
        <v>65</v>
      </c>
      <c r="K3" s="42" t="s">
        <v>63</v>
      </c>
      <c r="L3" s="71" t="s">
        <v>64</v>
      </c>
      <c r="M3" s="42" t="s">
        <v>61</v>
      </c>
      <c r="N3" s="10"/>
      <c r="Q3" s="10"/>
      <c r="R3" s="10"/>
      <c r="S3" s="10"/>
      <c r="T3" s="10"/>
      <c r="V3" s="1"/>
      <c r="AA3" s="31" t="s">
        <v>65</v>
      </c>
      <c r="AB3" t="s">
        <v>90</v>
      </c>
    </row>
    <row r="4" spans="1:28" x14ac:dyDescent="0.25">
      <c r="A4" s="11"/>
      <c r="F4" s="10"/>
      <c r="G4" s="72"/>
      <c r="H4" s="10"/>
      <c r="I4" s="73">
        <f>IF(xFok&lt;0, MIN(J6:J9), MAX(J6:J9))</f>
        <v>12867.49095299466</v>
      </c>
      <c r="J4" s="73">
        <f>IF(xFok&lt;0, MIN(J6:J11), MAX(J6:J11))</f>
        <v>12867.49095299466</v>
      </c>
      <c r="K4" s="73">
        <f>IF(xFok&lt;0, MIN(J6:J13), MAX(J6:J13))</f>
        <v>12867.49095299466</v>
      </c>
      <c r="L4" s="73">
        <f>IF(xFok&lt;0, MIN(J6:J17), MAX(J6:J17))</f>
        <v>12867.49095299466</v>
      </c>
      <c r="M4" s="73">
        <f>IF(Modell="ZL 125",Ref_ZL125,IF(Modell="ZL 200",Ref_ZL200,IF(Modell="ZL 250",Ref_ZL250,Ref_ZL375)))</f>
        <v>12867.49095299466</v>
      </c>
      <c r="Q4" s="10"/>
      <c r="S4" s="10"/>
      <c r="T4" s="10"/>
      <c r="AA4" s="31" t="s">
        <v>63</v>
      </c>
    </row>
    <row r="5" spans="1:28" x14ac:dyDescent="0.25">
      <c r="A5" s="13" t="s">
        <v>34</v>
      </c>
      <c r="B5" s="4" t="s">
        <v>35</v>
      </c>
      <c r="C5" s="42">
        <f>UKLS</f>
        <v>1.2</v>
      </c>
      <c r="E5" t="s">
        <v>98</v>
      </c>
      <c r="F5" s="10">
        <f>(y_LS1-y_LS2)/(m_2-m_1)</f>
        <v>-34.208015267175583</v>
      </c>
      <c r="G5" s="10">
        <f>m_1*xFok+y_LS1</f>
        <v>1835.183107130453</v>
      </c>
      <c r="H5" s="10"/>
      <c r="Q5" s="10"/>
      <c r="S5" s="10"/>
      <c r="T5" s="10"/>
      <c r="V5" s="1"/>
      <c r="W5" s="8"/>
      <c r="X5" s="8"/>
      <c r="Y5" s="8"/>
      <c r="Z5" s="8"/>
      <c r="AA5" s="31" t="s">
        <v>64</v>
      </c>
    </row>
    <row r="6" spans="1:28" x14ac:dyDescent="0.25">
      <c r="A6" s="11" t="s">
        <v>36</v>
      </c>
      <c r="B6" s="4" t="s">
        <v>53</v>
      </c>
      <c r="C6" s="42">
        <f>UKHB</f>
        <v>0.8</v>
      </c>
      <c r="H6" s="68"/>
      <c r="I6" s="1" t="s">
        <v>15</v>
      </c>
      <c r="J6" s="10">
        <f>SQRT( xFok^2 + (y_LS2-yFok - L_effGrp/2 - ((K6-1)*dGruppen) - (QUOTIENT(K6-1,AnzGrp)*(2*dChRd-dChass)/1000) )^2 )</f>
        <v>12867.49095299466</v>
      </c>
      <c r="K6" s="59">
        <v>1</v>
      </c>
      <c r="L6" s="1" t="s">
        <v>15</v>
      </c>
      <c r="M6" s="10">
        <f>ABS(J6-minDX)</f>
        <v>0</v>
      </c>
      <c r="N6" s="10"/>
      <c r="O6" s="1" t="s">
        <v>15</v>
      </c>
      <c r="P6" s="7">
        <f>IF(Berechnung=$AB$2,diff_1,diff3_1)</f>
        <v>0</v>
      </c>
      <c r="Q6">
        <f>delay_G2-delay_G1</f>
        <v>0.10393536356605182</v>
      </c>
      <c r="R6" s="10"/>
      <c r="S6" s="10"/>
      <c r="T6" s="10"/>
      <c r="V6" s="1"/>
      <c r="W6" s="10"/>
      <c r="X6" s="10"/>
      <c r="Y6" s="10"/>
      <c r="Z6" s="10"/>
    </row>
    <row r="7" spans="1:28" x14ac:dyDescent="0.25">
      <c r="A7" s="11" t="s">
        <v>37</v>
      </c>
      <c r="B7" s="4" t="s">
        <v>54</v>
      </c>
      <c r="C7" s="42">
        <f>OKHB</f>
        <v>1.6</v>
      </c>
      <c r="E7" t="s">
        <v>107</v>
      </c>
      <c r="F7" s="72">
        <f>(y_LS1-y_LS2)/(m_2_Winkel-m_1_Winkel)</f>
        <v>-12091.833673387606</v>
      </c>
      <c r="G7" s="72">
        <f>IF(MOD(alpha_1-90,180)=0,IF(alpha_1&gt;0,100,-100),m_1_Winkel*xFok_Winkel+y_LS1)</f>
        <v>4403.517572766903</v>
      </c>
      <c r="H7" s="68"/>
      <c r="I7" s="1" t="s">
        <v>16</v>
      </c>
      <c r="J7" s="72">
        <f>SQRT( xFok^2 + (y_LS2-yFok - L_effGrp/2 - ((K7-1)*dGruppen) - (QUOTIENT(K7-1,AnzGrp)*(2*dChRd-dChass)/1000) )^2 )</f>
        <v>12867.594907738263</v>
      </c>
      <c r="K7" s="59">
        <v>2</v>
      </c>
      <c r="L7" s="1" t="s">
        <v>16</v>
      </c>
      <c r="M7" s="10">
        <f t="shared" ref="M7:M17" si="0">ABS(J7-minDX)</f>
        <v>0.10395474360302615</v>
      </c>
      <c r="N7" s="10"/>
      <c r="O7" s="1" t="s">
        <v>16</v>
      </c>
      <c r="P7" s="7">
        <f>IF(Berechnung=$AB$2,diff_2,diff3_2)</f>
        <v>0.10393536356605182</v>
      </c>
      <c r="Q7" s="68">
        <f>delay_G3-delay_G2</f>
        <v>0.10394804755742371</v>
      </c>
      <c r="R7" s="30"/>
      <c r="S7" s="10"/>
      <c r="T7" s="10"/>
      <c r="U7" s="3"/>
      <c r="V7" s="1"/>
      <c r="W7" s="10"/>
      <c r="Y7" s="10"/>
      <c r="Z7" s="10"/>
    </row>
    <row r="8" spans="1:28" x14ac:dyDescent="0.25">
      <c r="A8" s="11" t="s">
        <v>47</v>
      </c>
      <c r="B8" s="4" t="s">
        <v>55</v>
      </c>
      <c r="C8" s="42">
        <f>IF(StHB=0,0.01,StHB)</f>
        <v>3</v>
      </c>
      <c r="E8" s="68" t="s">
        <v>108</v>
      </c>
      <c r="F8" s="72">
        <f>(y_LS1_virt-y_LS2_virt)/(m_2_Winkel2-m_1_Winkel2)</f>
        <v>-12867.860636673364</v>
      </c>
      <c r="G8" s="72">
        <f>m_1_Winkel2*xFok_Winkel2+y_LS1_virt</f>
        <v>1.1746157759823854</v>
      </c>
      <c r="H8" s="68"/>
      <c r="I8" s="1" t="s">
        <v>17</v>
      </c>
      <c r="J8" s="72">
        <f>SQRT( xFok^2 + (y_LS2-yFok - L_effGrp/2 - ((K8-1)*dGruppen) - (QUOTIENT(K8-1,AnzGrp)*(2*dChRd-dChass)/1000) )^2 )</f>
        <v>12867.698868824056</v>
      </c>
      <c r="K8" s="59">
        <v>3</v>
      </c>
      <c r="L8" s="1" t="s">
        <v>17</v>
      </c>
      <c r="M8" s="10">
        <f t="shared" si="0"/>
        <v>0.2079158293963701</v>
      </c>
      <c r="N8" s="10"/>
      <c r="O8" s="1" t="s">
        <v>17</v>
      </c>
      <c r="P8" s="7">
        <f>IF(Berechnung=$AB$2,diff_3,diff3_3)</f>
        <v>0.20788341112347553</v>
      </c>
      <c r="Q8" s="68">
        <f>delay_G4-delay_G3</f>
        <v>0.10396073139418149</v>
      </c>
      <c r="R8" s="30"/>
      <c r="S8" s="10"/>
      <c r="T8" s="10"/>
      <c r="U8" s="3"/>
      <c r="V8" s="1"/>
      <c r="W8" s="10"/>
    </row>
    <row r="9" spans="1:28" x14ac:dyDescent="0.25">
      <c r="A9" s="11" t="s">
        <v>48</v>
      </c>
      <c r="B9" s="4" t="s">
        <v>56</v>
      </c>
      <c r="C9" s="42">
        <f>EndeHB</f>
        <v>25</v>
      </c>
      <c r="I9" s="1" t="s">
        <v>18</v>
      </c>
      <c r="J9" s="72">
        <f t="shared" ref="J9:J17" si="1">SQRT( xFok^2 + (y_LS2-yFok - L_effGrp/2 - ((K9-1)*dGruppen) - (QUOTIENT(K9-1,AnzGrp)*(2*dChRd-dChass)/1000) )^2 )</f>
        <v>12867.802836251889</v>
      </c>
      <c r="K9" s="59">
        <v>4</v>
      </c>
      <c r="L9" s="1" t="s">
        <v>18</v>
      </c>
      <c r="M9" s="10">
        <f t="shared" si="0"/>
        <v>0.31188325722905574</v>
      </c>
      <c r="N9" s="10"/>
      <c r="O9" s="1" t="s">
        <v>18</v>
      </c>
      <c r="P9" s="7">
        <f>IF(Berechnung=$AB$2,diff_4,diff3_4)</f>
        <v>0.31184414251765702</v>
      </c>
      <c r="Q9" s="68">
        <f>delay_G5-delay_G4</f>
        <v>0.1156028093155328</v>
      </c>
      <c r="R9" s="30"/>
      <c r="S9" s="10"/>
      <c r="T9" s="10"/>
      <c r="U9" s="3"/>
      <c r="V9" s="1"/>
      <c r="W9" s="10"/>
      <c r="X9" s="10"/>
      <c r="Y9" s="10"/>
      <c r="Z9" s="10"/>
    </row>
    <row r="10" spans="1:28" x14ac:dyDescent="0.25">
      <c r="H10" s="68"/>
      <c r="I10" s="1" t="s">
        <v>19</v>
      </c>
      <c r="J10" s="72">
        <f t="shared" si="1"/>
        <v>12867.918439061204</v>
      </c>
      <c r="K10" s="59">
        <v>5</v>
      </c>
      <c r="L10" s="1" t="s">
        <v>19</v>
      </c>
      <c r="M10" s="10">
        <f t="shared" si="0"/>
        <v>0.42748606654458854</v>
      </c>
      <c r="N10" s="10"/>
      <c r="O10" s="1" t="s">
        <v>19</v>
      </c>
      <c r="P10" s="7">
        <f>IF(Berechnung=$AB$2,diff_5,diff3_5)</f>
        <v>0.42744695183318981</v>
      </c>
      <c r="Q10" s="68">
        <f>delay_G6-delay_G5</f>
        <v>0.10398751714819809</v>
      </c>
      <c r="R10" s="30"/>
      <c r="S10" s="10"/>
      <c r="T10" s="10"/>
      <c r="U10" s="3"/>
    </row>
    <row r="11" spans="1:28" x14ac:dyDescent="0.25">
      <c r="A11" s="11" t="s">
        <v>29</v>
      </c>
      <c r="B11" s="4" t="s">
        <v>30</v>
      </c>
      <c r="C11" s="9">
        <f>((AnzGrp-1)*dGruppen)*AnzLS+ IF(AnzLS=1,0,dLS)</f>
        <v>2.1619999999999999</v>
      </c>
      <c r="H11" s="68"/>
      <c r="I11" s="1" t="s">
        <v>20</v>
      </c>
      <c r="J11" s="72">
        <f t="shared" si="1"/>
        <v>12868.022419881914</v>
      </c>
      <c r="K11" s="59">
        <v>6</v>
      </c>
      <c r="L11" s="1" t="s">
        <v>20</v>
      </c>
      <c r="M11" s="10">
        <f t="shared" si="0"/>
        <v>0.53146688725428248</v>
      </c>
      <c r="N11" s="10"/>
      <c r="O11" s="1" t="s">
        <v>20</v>
      </c>
      <c r="P11" s="7">
        <f>IF(Berechnung=$AB$2,diff_6,diff3_6)</f>
        <v>0.53143446898138791</v>
      </c>
      <c r="Q11" s="68">
        <f>delay_G7-delay_G6</f>
        <v>0.10400020050292369</v>
      </c>
      <c r="R11" s="30"/>
      <c r="S11" s="10"/>
      <c r="T11" s="10"/>
      <c r="U11" s="3"/>
    </row>
    <row r="12" spans="1:28" x14ac:dyDescent="0.25">
      <c r="A12" s="11" t="s">
        <v>85</v>
      </c>
      <c r="B12" s="4" t="s">
        <v>86</v>
      </c>
      <c r="C12" s="9">
        <f>(AnzChass-1)*dChass/1000</f>
        <v>0.22800000000000001</v>
      </c>
      <c r="H12" s="68"/>
      <c r="I12" s="1" t="s">
        <v>21</v>
      </c>
      <c r="J12" s="72">
        <f t="shared" si="1"/>
        <v>12868.126407044181</v>
      </c>
      <c r="K12" s="59">
        <v>7</v>
      </c>
      <c r="L12" s="1" t="s">
        <v>21</v>
      </c>
      <c r="M12" s="10">
        <f t="shared" si="0"/>
        <v>0.63545404952128592</v>
      </c>
      <c r="N12" s="10"/>
      <c r="O12" s="1" t="s">
        <v>21</v>
      </c>
      <c r="P12" s="7">
        <f>IF(Berechnung=$AB$2,diff_7,diff3_7)</f>
        <v>0.6354346694843116</v>
      </c>
      <c r="Q12" s="68">
        <f>delay_G8-delay_G7</f>
        <v>0.10401288371394912</v>
      </c>
      <c r="R12" s="10"/>
      <c r="S12" s="10"/>
      <c r="T12" s="10"/>
      <c r="U12" s="3"/>
    </row>
    <row r="13" spans="1:28" x14ac:dyDescent="0.25">
      <c r="H13" s="68"/>
      <c r="I13" s="1" t="s">
        <v>22</v>
      </c>
      <c r="J13" s="72">
        <f t="shared" si="1"/>
        <v>12868.230400547858</v>
      </c>
      <c r="K13" s="59">
        <v>8</v>
      </c>
      <c r="L13" s="1" t="s">
        <v>22</v>
      </c>
      <c r="M13" s="10">
        <f t="shared" si="0"/>
        <v>0.73944755319826072</v>
      </c>
      <c r="N13" s="10"/>
      <c r="O13" s="1" t="s">
        <v>22</v>
      </c>
      <c r="P13" s="7">
        <f>IF(Berechnung=$AB$2,diff_8,diff3_8)</f>
        <v>0.73944755319826072</v>
      </c>
      <c r="Q13" s="68">
        <f>delay_G9-delay_G8</f>
        <v>0.11566079371368687</v>
      </c>
      <c r="R13" s="10"/>
      <c r="S13" s="3"/>
      <c r="T13" s="3"/>
      <c r="U13" s="3"/>
    </row>
    <row r="14" spans="1:28" ht="15.75" x14ac:dyDescent="0.25">
      <c r="A14" s="11" t="s">
        <v>27</v>
      </c>
      <c r="B14" s="4" t="s">
        <v>31</v>
      </c>
      <c r="C14" s="9">
        <f>AnzChass*dChass/1000</f>
        <v>0.30399999999999999</v>
      </c>
      <c r="H14" s="68"/>
      <c r="I14" s="1" t="s">
        <v>76</v>
      </c>
      <c r="J14" s="72">
        <f t="shared" si="1"/>
        <v>12868.346032348651</v>
      </c>
      <c r="K14" s="59">
        <v>9</v>
      </c>
      <c r="L14" s="1" t="s">
        <v>76</v>
      </c>
      <c r="M14" s="10">
        <f t="shared" si="0"/>
        <v>0.85507935399073176</v>
      </c>
      <c r="N14" s="10"/>
      <c r="O14" s="1" t="s">
        <v>76</v>
      </c>
      <c r="P14" s="7">
        <f>IF(Berechnung=$AB$2,diff_9,diff3_9)</f>
        <v>0.85510834691194759</v>
      </c>
      <c r="Q14" s="68">
        <f>delay_G10-delay_G9</f>
        <v>0.10403966813100851</v>
      </c>
      <c r="R14" s="21"/>
      <c r="S14" s="21"/>
      <c r="T14" s="21"/>
      <c r="U14" s="3"/>
    </row>
    <row r="15" spans="1:28" x14ac:dyDescent="0.25">
      <c r="A15" s="11" t="s">
        <v>71</v>
      </c>
      <c r="B15" s="4" t="s">
        <v>10</v>
      </c>
      <c r="C15" s="9">
        <f>(AnzChass*dChass+(2*dChRd-dChass))/1000</f>
        <v>0.33800000000000002</v>
      </c>
      <c r="H15" s="68"/>
      <c r="I15" s="1" t="s">
        <v>77</v>
      </c>
      <c r="J15" s="72">
        <f t="shared" si="1"/>
        <v>12868.450039243868</v>
      </c>
      <c r="K15" s="59">
        <v>10</v>
      </c>
      <c r="L15" s="1" t="s">
        <v>77</v>
      </c>
      <c r="M15" s="10">
        <f t="shared" si="0"/>
        <v>0.95908624920775765</v>
      </c>
      <c r="O15" s="1" t="s">
        <v>77</v>
      </c>
      <c r="P15" s="7">
        <f>IF(Berechnung=$AB$2,diff_10,diff3_10)</f>
        <v>0.9591480150429561</v>
      </c>
      <c r="Q15" s="68">
        <f>delay_G11-delay_G10</f>
        <v>0.10405235085636377</v>
      </c>
      <c r="R15" s="10"/>
      <c r="S15" s="10"/>
      <c r="T15" s="10"/>
      <c r="U15" s="3"/>
    </row>
    <row r="16" spans="1:28" ht="15.75" x14ac:dyDescent="0.25">
      <c r="D16" s="8"/>
      <c r="H16" s="68"/>
      <c r="I16" s="1" t="s">
        <v>78</v>
      </c>
      <c r="J16" s="72">
        <f t="shared" si="1"/>
        <v>12868.554052480013</v>
      </c>
      <c r="K16" s="59">
        <v>11</v>
      </c>
      <c r="L16" s="1" t="s">
        <v>78</v>
      </c>
      <c r="M16" s="10">
        <f t="shared" si="0"/>
        <v>1.0630994853527227</v>
      </c>
      <c r="N16" s="21"/>
      <c r="O16" s="1" t="s">
        <v>78</v>
      </c>
      <c r="P16" s="7">
        <f>IF(Berechnung=$AB$2,diff_11,diff3_11)</f>
        <v>1.0632003658993199</v>
      </c>
      <c r="Q16" s="68">
        <f>delay_G12-delay_G11</f>
        <v>0.10406503342892393</v>
      </c>
      <c r="R16" s="10"/>
      <c r="S16" s="10"/>
      <c r="T16" s="10"/>
      <c r="U16" s="3"/>
    </row>
    <row r="17" spans="1:21" x14ac:dyDescent="0.25">
      <c r="A17" s="13" t="s">
        <v>67</v>
      </c>
      <c r="B17" s="4" t="s">
        <v>68</v>
      </c>
      <c r="C17" s="8" t="str">
        <f>Modell</f>
        <v>ZL 250</v>
      </c>
      <c r="H17" s="68"/>
      <c r="I17" s="1" t="s">
        <v>79</v>
      </c>
      <c r="J17" s="72">
        <f t="shared" si="1"/>
        <v>12868.658072056931</v>
      </c>
      <c r="K17" s="59">
        <v>12</v>
      </c>
      <c r="L17" s="1" t="s">
        <v>79</v>
      </c>
      <c r="M17" s="10">
        <f t="shared" si="0"/>
        <v>1.1671190622710128</v>
      </c>
      <c r="N17" s="10"/>
      <c r="O17" s="1" t="s">
        <v>79</v>
      </c>
      <c r="P17" s="7">
        <f>IF(Berechnung=$AB$2,diff_12,diff3_12)</f>
        <v>1.1672653993282438</v>
      </c>
      <c r="Q17" s="68"/>
      <c r="R17" s="10"/>
      <c r="S17" s="10"/>
      <c r="T17" s="10"/>
      <c r="U17" s="3"/>
    </row>
    <row r="18" spans="1:21" x14ac:dyDescent="0.25">
      <c r="A18" s="11" t="s">
        <v>28</v>
      </c>
      <c r="B18" s="4" t="s">
        <v>80</v>
      </c>
      <c r="C18" s="8">
        <f>IF(Modell="ZL 200",3,4)</f>
        <v>4</v>
      </c>
      <c r="N18" s="10"/>
      <c r="Q18" s="10"/>
      <c r="R18" s="10"/>
      <c r="S18" s="10"/>
      <c r="T18" s="10"/>
      <c r="U18" s="3"/>
    </row>
    <row r="19" spans="1:21" x14ac:dyDescent="0.25">
      <c r="A19" s="11" t="s">
        <v>12</v>
      </c>
      <c r="B19" s="4" t="s">
        <v>11</v>
      </c>
      <c r="C19" s="8">
        <f>IF(Modell2="ZL 125",1,IF(Modell2="ZL 375",3,2))</f>
        <v>2</v>
      </c>
      <c r="N19" s="10"/>
      <c r="Q19" s="10"/>
      <c r="R19" s="10"/>
      <c r="S19" s="10"/>
      <c r="T19" s="10"/>
      <c r="U19" s="3"/>
    </row>
    <row r="20" spans="1:21" ht="15.75" x14ac:dyDescent="0.25">
      <c r="A20" s="13" t="s">
        <v>69</v>
      </c>
      <c r="B20" s="4" t="s">
        <v>70</v>
      </c>
      <c r="C20" s="8">
        <v>4</v>
      </c>
      <c r="H20" t="s">
        <v>94</v>
      </c>
      <c r="I20" s="2" t="s">
        <v>13</v>
      </c>
      <c r="J20" s="21" t="s">
        <v>32</v>
      </c>
      <c r="K20" s="21"/>
      <c r="L20" s="2" t="s">
        <v>25</v>
      </c>
      <c r="M20" s="21"/>
      <c r="N20" s="21"/>
      <c r="O20" s="1"/>
      <c r="P20" s="23"/>
      <c r="Q20" s="10"/>
      <c r="R20" s="10"/>
      <c r="S20" s="10"/>
      <c r="T20" s="10"/>
      <c r="U20" s="3"/>
    </row>
    <row r="21" spans="1:21" x14ac:dyDescent="0.25">
      <c r="I21" s="71" t="s">
        <v>62</v>
      </c>
      <c r="J21" s="42" t="s">
        <v>65</v>
      </c>
      <c r="K21" s="42" t="s">
        <v>63</v>
      </c>
      <c r="L21" s="71" t="s">
        <v>64</v>
      </c>
      <c r="M21" s="42" t="s">
        <v>61</v>
      </c>
      <c r="N21" s="72"/>
      <c r="O21" s="68"/>
      <c r="P21" s="68"/>
      <c r="Q21" s="10"/>
      <c r="R21" s="10"/>
      <c r="S21" s="10"/>
      <c r="T21" s="10"/>
    </row>
    <row r="22" spans="1:21" x14ac:dyDescent="0.25">
      <c r="A22" s="13" t="s">
        <v>72</v>
      </c>
      <c r="B22" s="4" t="s">
        <v>73</v>
      </c>
      <c r="C22" s="58">
        <v>76</v>
      </c>
      <c r="I22" s="73">
        <f>MIN(M25:M28)</f>
        <v>12867.860676768038</v>
      </c>
      <c r="J22" s="73">
        <f>MIN(M25:M30)</f>
        <v>12867.860676768038</v>
      </c>
      <c r="K22" s="73">
        <f>MIN(M25:M32)</f>
        <v>12867.860676768038</v>
      </c>
      <c r="L22" s="73">
        <f>MIN(M25:M36)</f>
        <v>12867.860676768038</v>
      </c>
      <c r="M22" s="73">
        <f>IF(Modell="ZL 125",Ref2_ZL125,IF(Modell="ZL 200",Ref2_ZL200,IF(Modell="ZL 250",Ref2_ZL250,Ref2_ZL375)))</f>
        <v>12867.860676768038</v>
      </c>
      <c r="N22" s="68"/>
      <c r="O22" s="68"/>
      <c r="P22" s="68"/>
      <c r="Q22" s="10"/>
      <c r="R22" s="10"/>
      <c r="S22" s="10"/>
      <c r="T22" s="10"/>
    </row>
    <row r="23" spans="1:21" x14ac:dyDescent="0.25">
      <c r="A23" s="13" t="s">
        <v>74</v>
      </c>
      <c r="B23" s="4" t="s">
        <v>75</v>
      </c>
      <c r="C23" s="57">
        <f>IF(Modell2="ZL 200",C24,C25)</f>
        <v>55</v>
      </c>
      <c r="D23" s="1"/>
      <c r="I23" s="73"/>
      <c r="J23" s="73"/>
      <c r="K23" s="73"/>
      <c r="L23" s="73"/>
      <c r="M23" s="73"/>
      <c r="N23" s="68"/>
      <c r="O23" s="68"/>
      <c r="P23" s="68"/>
      <c r="Q23" s="10"/>
      <c r="R23" s="10"/>
      <c r="S23" s="10"/>
      <c r="T23" s="10"/>
    </row>
    <row r="24" spans="1:21" x14ac:dyDescent="0.25">
      <c r="A24" s="13" t="s">
        <v>82</v>
      </c>
      <c r="B24" s="4" t="s">
        <v>84</v>
      </c>
      <c r="C24" s="58">
        <v>61</v>
      </c>
      <c r="D24" s="28"/>
      <c r="Q24" s="10"/>
      <c r="R24" s="10"/>
      <c r="S24" s="10"/>
      <c r="T24" s="10"/>
    </row>
    <row r="25" spans="1:21" x14ac:dyDescent="0.25">
      <c r="A25" s="13" t="s">
        <v>81</v>
      </c>
      <c r="B25" s="4" t="s">
        <v>83</v>
      </c>
      <c r="C25" s="58">
        <v>55</v>
      </c>
      <c r="I25" s="1" t="s">
        <v>15</v>
      </c>
      <c r="J25" s="72">
        <f t="shared" ref="J25:J36" si="2">SQRT( xFok_Winkel2^2 + (y_LS2_virt-yFok_Winkel2 - L_effGrp_virt/2 - ((K25-1)*dGruppen_virt) - (QUOTIENT(K25-1,AnzGrp)*(2*dChRd_virt-dChass_virt)/1000) )^2 )</f>
        <v>12867.860676768038</v>
      </c>
      <c r="K25" s="59">
        <v>1</v>
      </c>
      <c r="L25" s="1" t="s">
        <v>15</v>
      </c>
      <c r="M25" s="72">
        <f>IF(xFok_Winkel2&lt;0,M6+J25,M6-J25)</f>
        <v>12867.860676768038</v>
      </c>
      <c r="N25" s="72"/>
      <c r="O25" s="1" t="s">
        <v>15</v>
      </c>
      <c r="P25" s="7">
        <f>diff2_1-minDX2</f>
        <v>0</v>
      </c>
      <c r="Q25" s="80"/>
    </row>
    <row r="26" spans="1:21" ht="15.75" x14ac:dyDescent="0.25">
      <c r="D26" s="28"/>
      <c r="I26" s="1" t="s">
        <v>16</v>
      </c>
      <c r="J26" s="72">
        <f t="shared" si="2"/>
        <v>12867.860657388001</v>
      </c>
      <c r="K26" s="59">
        <v>2</v>
      </c>
      <c r="L26" s="1" t="s">
        <v>16</v>
      </c>
      <c r="M26" s="72">
        <f t="shared" ref="M26:M36" si="3">IF(xFok_Winkel2&lt;0,M7+J26,M7-J26)</f>
        <v>12867.964612131604</v>
      </c>
      <c r="N26" s="72"/>
      <c r="O26" s="1" t="s">
        <v>16</v>
      </c>
      <c r="P26" s="7">
        <f>diff2_2-minDX2</f>
        <v>0.10393536356605182</v>
      </c>
      <c r="Q26" s="80"/>
      <c r="R26" s="21"/>
      <c r="S26" s="21"/>
      <c r="T26" s="21"/>
    </row>
    <row r="27" spans="1:21" x14ac:dyDescent="0.25">
      <c r="A27" s="13" t="s">
        <v>23</v>
      </c>
      <c r="B27" s="4" t="s">
        <v>24</v>
      </c>
      <c r="C27" s="18">
        <v>340</v>
      </c>
      <c r="D27" s="28"/>
      <c r="I27" s="1" t="s">
        <v>17</v>
      </c>
      <c r="J27" s="72">
        <f t="shared" si="2"/>
        <v>12867.860644349765</v>
      </c>
      <c r="K27" s="59">
        <v>3</v>
      </c>
      <c r="L27" s="1" t="s">
        <v>17</v>
      </c>
      <c r="M27" s="72">
        <f t="shared" si="3"/>
        <v>12868.068560179161</v>
      </c>
      <c r="N27" s="72"/>
      <c r="O27" s="1" t="s">
        <v>17</v>
      </c>
      <c r="P27" s="7">
        <f>diff2_3-minDX2</f>
        <v>0.20788341112347553</v>
      </c>
      <c r="Q27" s="80"/>
      <c r="R27" s="10"/>
      <c r="S27" s="20"/>
      <c r="T27" s="20"/>
    </row>
    <row r="28" spans="1:21" x14ac:dyDescent="0.25">
      <c r="D28" s="28"/>
      <c r="I28" s="1" t="s">
        <v>18</v>
      </c>
      <c r="J28" s="72">
        <f t="shared" si="2"/>
        <v>12867.860637653326</v>
      </c>
      <c r="K28" s="59">
        <v>4</v>
      </c>
      <c r="L28" s="1" t="s">
        <v>18</v>
      </c>
      <c r="M28" s="72">
        <f t="shared" si="3"/>
        <v>12868.172520910555</v>
      </c>
      <c r="N28" s="72"/>
      <c r="O28" s="1" t="s">
        <v>18</v>
      </c>
      <c r="P28" s="7">
        <f>diff2_4-minDX2</f>
        <v>0.31184414251765702</v>
      </c>
      <c r="Q28" s="80"/>
      <c r="R28" s="10"/>
      <c r="S28" s="20"/>
      <c r="T28" s="20"/>
    </row>
    <row r="29" spans="1:21" x14ac:dyDescent="0.25">
      <c r="D29" s="28"/>
      <c r="I29" s="1" t="s">
        <v>19</v>
      </c>
      <c r="J29" s="72">
        <f t="shared" si="2"/>
        <v>12867.860637653326</v>
      </c>
      <c r="K29" s="59">
        <v>5</v>
      </c>
      <c r="L29" s="1" t="s">
        <v>19</v>
      </c>
      <c r="M29" s="72">
        <f t="shared" si="3"/>
        <v>12868.288123719871</v>
      </c>
      <c r="N29" s="72"/>
      <c r="O29" s="1" t="s">
        <v>19</v>
      </c>
      <c r="P29" s="7">
        <f>diff2_5-minDX2</f>
        <v>0.42744695183318981</v>
      </c>
      <c r="Q29" s="80"/>
      <c r="R29" s="10"/>
      <c r="S29" s="20"/>
      <c r="T29" s="20"/>
    </row>
    <row r="30" spans="1:21" x14ac:dyDescent="0.25">
      <c r="A30" s="13" t="s">
        <v>96</v>
      </c>
      <c r="B30" s="4" t="s">
        <v>58</v>
      </c>
      <c r="C30" s="65">
        <f>IF(y_1&gt;dUKLS,(y_1-y_LS1)/(x_2-0),(y_1-y_LS1)/(x_1-0))</f>
        <v>-0.15166666666666662</v>
      </c>
      <c r="D30" s="28"/>
      <c r="E30" s="52"/>
      <c r="I30" s="1" t="s">
        <v>20</v>
      </c>
      <c r="J30" s="72">
        <f t="shared" si="2"/>
        <v>12867.860644349765</v>
      </c>
      <c r="K30" s="59">
        <v>6</v>
      </c>
      <c r="L30" s="1" t="s">
        <v>20</v>
      </c>
      <c r="M30" s="72">
        <f t="shared" si="3"/>
        <v>12868.392111237019</v>
      </c>
      <c r="N30" s="72"/>
      <c r="O30" s="1" t="s">
        <v>20</v>
      </c>
      <c r="P30" s="7">
        <f>diff2_6-minDX2</f>
        <v>0.53143446898138791</v>
      </c>
      <c r="Q30" s="80"/>
      <c r="R30" s="20"/>
      <c r="S30" s="20"/>
      <c r="T30" s="20"/>
    </row>
    <row r="31" spans="1:21" x14ac:dyDescent="0.25">
      <c r="A31" s="13" t="s">
        <v>96</v>
      </c>
      <c r="B31" s="4" t="s">
        <v>59</v>
      </c>
      <c r="C31" s="42">
        <f>y_LS1</f>
        <v>1.2549999999999999</v>
      </c>
      <c r="D31" s="28"/>
      <c r="I31" s="1" t="s">
        <v>21</v>
      </c>
      <c r="J31" s="72">
        <f t="shared" si="2"/>
        <v>12867.860657388001</v>
      </c>
      <c r="K31" s="59">
        <v>7</v>
      </c>
      <c r="L31" s="1" t="s">
        <v>21</v>
      </c>
      <c r="M31" s="72">
        <f t="shared" si="3"/>
        <v>12868.496111437522</v>
      </c>
      <c r="N31" s="72"/>
      <c r="O31" s="1" t="s">
        <v>21</v>
      </c>
      <c r="P31" s="7">
        <f>diff2_7-minDX2</f>
        <v>0.6354346694843116</v>
      </c>
      <c r="Q31" s="80"/>
      <c r="R31" s="20"/>
      <c r="S31" s="20"/>
      <c r="T31" s="20"/>
    </row>
    <row r="32" spans="1:21" x14ac:dyDescent="0.25">
      <c r="B32" s="66" t="s">
        <v>95</v>
      </c>
      <c r="C32" s="67">
        <f>IF(y_2&lt;y_LS2,(y_2-y_LS2)/(x_2-0),(y_2-y_LS2)/(x_1-0))</f>
        <v>-8.1799999999999984E-2</v>
      </c>
      <c r="I32" s="1" t="s">
        <v>22</v>
      </c>
      <c r="J32" s="72">
        <f t="shared" si="2"/>
        <v>12867.860676768038</v>
      </c>
      <c r="K32" s="59">
        <v>8</v>
      </c>
      <c r="L32" s="1" t="s">
        <v>22</v>
      </c>
      <c r="M32" s="72">
        <f t="shared" si="3"/>
        <v>12868.600124321236</v>
      </c>
      <c r="N32" s="72"/>
      <c r="O32" s="1" t="s">
        <v>22</v>
      </c>
      <c r="P32" s="7">
        <f>diff2_8-minDX2</f>
        <v>0.73944755319826072</v>
      </c>
      <c r="Q32" s="80"/>
      <c r="R32" s="20"/>
      <c r="S32" s="20"/>
      <c r="T32" s="20"/>
    </row>
    <row r="33" spans="1:20" x14ac:dyDescent="0.25">
      <c r="A33" s="13" t="s">
        <v>97</v>
      </c>
      <c r="B33" s="4" t="s">
        <v>57</v>
      </c>
      <c r="C33" s="65">
        <f>IF(m_2_zwischen=m_1,m_2_zwischen+0.001,m_2_zwischen)</f>
        <v>-8.1799999999999984E-2</v>
      </c>
      <c r="I33" s="1" t="s">
        <v>76</v>
      </c>
      <c r="J33" s="72">
        <f t="shared" si="2"/>
        <v>12867.860705760959</v>
      </c>
      <c r="K33" s="59">
        <v>9</v>
      </c>
      <c r="L33" s="1" t="s">
        <v>76</v>
      </c>
      <c r="M33" s="72">
        <f t="shared" si="3"/>
        <v>12868.71578511495</v>
      </c>
      <c r="N33" s="72"/>
      <c r="O33" s="1" t="s">
        <v>76</v>
      </c>
      <c r="P33" s="7">
        <f>diff2_9-minDX2</f>
        <v>0.85510834691194759</v>
      </c>
      <c r="Q33" s="80"/>
      <c r="R33" s="20"/>
      <c r="S33" s="20"/>
      <c r="T33" s="20"/>
    </row>
    <row r="34" spans="1:20" x14ac:dyDescent="0.25">
      <c r="A34" s="13" t="s">
        <v>97</v>
      </c>
      <c r="B34" s="4" t="s">
        <v>60</v>
      </c>
      <c r="C34" s="42">
        <f>y_LS2</f>
        <v>3.6449999999999996</v>
      </c>
      <c r="I34" s="1" t="s">
        <v>77</v>
      </c>
      <c r="J34" s="72">
        <f t="shared" si="2"/>
        <v>12867.860738533873</v>
      </c>
      <c r="K34" s="59">
        <v>10</v>
      </c>
      <c r="L34" s="1" t="s">
        <v>77</v>
      </c>
      <c r="M34" s="72">
        <f t="shared" si="3"/>
        <v>12868.819824783081</v>
      </c>
      <c r="N34" s="68"/>
      <c r="O34" s="1" t="s">
        <v>77</v>
      </c>
      <c r="P34" s="7">
        <f>diff2_10-minDX2</f>
        <v>0.9591480150429561</v>
      </c>
      <c r="Q34" s="80"/>
      <c r="R34" s="20"/>
      <c r="S34" s="20"/>
      <c r="T34" s="20"/>
    </row>
    <row r="35" spans="1:20" ht="15.75" x14ac:dyDescent="0.25">
      <c r="I35" s="1" t="s">
        <v>78</v>
      </c>
      <c r="J35" s="72">
        <f t="shared" si="2"/>
        <v>12867.860777648584</v>
      </c>
      <c r="K35" s="59">
        <v>11</v>
      </c>
      <c r="L35" s="1" t="s">
        <v>78</v>
      </c>
      <c r="M35" s="72">
        <f t="shared" si="3"/>
        <v>12868.923877133937</v>
      </c>
      <c r="N35" s="21"/>
      <c r="O35" s="1" t="s">
        <v>78</v>
      </c>
      <c r="P35" s="7">
        <f>diff2_11-minDX2</f>
        <v>1.0632003658993199</v>
      </c>
      <c r="Q35" s="80"/>
      <c r="R35" s="20"/>
      <c r="S35" s="20"/>
      <c r="T35" s="20"/>
    </row>
    <row r="36" spans="1:20" x14ac:dyDescent="0.25">
      <c r="I36" s="1" t="s">
        <v>79</v>
      </c>
      <c r="J36" s="72">
        <f t="shared" si="2"/>
        <v>12867.860823105095</v>
      </c>
      <c r="K36" s="59">
        <v>12</v>
      </c>
      <c r="L36" s="1" t="s">
        <v>79</v>
      </c>
      <c r="M36" s="72">
        <f t="shared" si="3"/>
        <v>12869.027942167366</v>
      </c>
      <c r="N36" s="72"/>
      <c r="O36" s="1" t="s">
        <v>79</v>
      </c>
      <c r="P36" s="7">
        <f>diff2_12-minDX2</f>
        <v>1.1672653993282438</v>
      </c>
      <c r="Q36" s="80"/>
      <c r="R36" s="10"/>
      <c r="S36" s="20"/>
      <c r="T36" s="20"/>
    </row>
    <row r="37" spans="1:20" x14ac:dyDescent="0.25">
      <c r="A37" s="13" t="s">
        <v>99</v>
      </c>
      <c r="B37" s="69" t="s">
        <v>100</v>
      </c>
      <c r="C37" s="70">
        <f>-alpha</f>
        <v>-20</v>
      </c>
    </row>
    <row r="38" spans="1:20" x14ac:dyDescent="0.25">
      <c r="A38" s="13" t="s">
        <v>102</v>
      </c>
      <c r="B38" s="69" t="s">
        <v>101</v>
      </c>
      <c r="C38" s="74">
        <f>IF(beta=0,0.01,beta)</f>
        <v>0.01</v>
      </c>
      <c r="E38" s="74"/>
      <c r="P38" s="29"/>
      <c r="Q38" s="29"/>
      <c r="R38" s="29"/>
      <c r="S38" s="29"/>
      <c r="T38" s="29"/>
    </row>
    <row r="39" spans="1:20" ht="14.45" x14ac:dyDescent="0.3">
      <c r="P39" s="27"/>
      <c r="Q39" s="27"/>
      <c r="R39" s="27"/>
      <c r="S39" s="27"/>
      <c r="T39" s="27"/>
    </row>
    <row r="40" spans="1:20" x14ac:dyDescent="0.25">
      <c r="A40" s="13" t="s">
        <v>111</v>
      </c>
      <c r="B40" s="4" t="s">
        <v>104</v>
      </c>
      <c r="C40" s="65">
        <f>TAN(RADIANS(alpha_1-0.01/2))</f>
        <v>-0.36406906443442505</v>
      </c>
    </row>
    <row r="41" spans="1:20" x14ac:dyDescent="0.25">
      <c r="B41" s="4" t="s">
        <v>105</v>
      </c>
      <c r="C41" s="65">
        <f>TAN(RADIANS(alpha_1+0.01/2))</f>
        <v>-0.36387141037594589</v>
      </c>
    </row>
    <row r="43" spans="1:20" x14ac:dyDescent="0.25">
      <c r="A43" s="81" t="s">
        <v>113</v>
      </c>
    </row>
    <row r="44" spans="1:20" x14ac:dyDescent="0.25">
      <c r="A44" s="13" t="s">
        <v>115</v>
      </c>
      <c r="B44" s="4" t="s">
        <v>116</v>
      </c>
      <c r="C44" s="8">
        <f>dChRd_virt/1000 + AnzLS*dChass_virt/1000*(AnzChass*AnzGrp-1)+(AnzLS-1)*dChRd_virt/1000*2</f>
        <v>2.2975484578215459</v>
      </c>
    </row>
    <row r="45" spans="1:20" x14ac:dyDescent="0.25">
      <c r="A45" s="13" t="s">
        <v>114</v>
      </c>
      <c r="B45" s="4" t="s">
        <v>117</v>
      </c>
      <c r="C45" s="8">
        <f>dChRd_virt/1000</f>
        <v>5.1683094143224965E-2</v>
      </c>
    </row>
    <row r="47" spans="1:20" x14ac:dyDescent="0.25">
      <c r="A47" s="13" t="s">
        <v>72</v>
      </c>
      <c r="B47" s="4" t="s">
        <v>118</v>
      </c>
      <c r="C47" s="57">
        <f>ABS(COS(RADIANS(alpha_1))*dChass)</f>
        <v>71.416639179729046</v>
      </c>
    </row>
    <row r="48" spans="1:20" x14ac:dyDescent="0.25">
      <c r="A48" s="13" t="s">
        <v>74</v>
      </c>
      <c r="B48" s="4" t="s">
        <v>119</v>
      </c>
      <c r="C48" s="57">
        <f>ABS(COS(RADIANS(alpha_1))*dChRd)</f>
        <v>51.683094143224963</v>
      </c>
    </row>
    <row r="49" spans="1:3" x14ac:dyDescent="0.25">
      <c r="A49" s="13" t="s">
        <v>82</v>
      </c>
      <c r="B49" s="4" t="s">
        <v>120</v>
      </c>
      <c r="C49" s="57">
        <f>ABS(COS(RADIANS(alpha_1))*dChRd100)</f>
        <v>57.321249867940416</v>
      </c>
    </row>
    <row r="50" spans="1:3" x14ac:dyDescent="0.25">
      <c r="A50" s="13" t="s">
        <v>81</v>
      </c>
      <c r="B50" s="4" t="s">
        <v>121</v>
      </c>
      <c r="C50" s="57">
        <f>ABS(COS(RADIANS(alpha_1))*dChRd125)</f>
        <v>51.683094143224963</v>
      </c>
    </row>
    <row r="52" spans="1:3" x14ac:dyDescent="0.25">
      <c r="A52" s="11" t="s">
        <v>29</v>
      </c>
      <c r="B52" s="4" t="s">
        <v>122</v>
      </c>
      <c r="C52" s="9">
        <f>((AnzGrp-1)*dGruppen_virt)*AnzLS+ IF(AnzLS=1,0,dLS_virt)</f>
        <v>2.031615446139134</v>
      </c>
    </row>
    <row r="53" spans="1:3" x14ac:dyDescent="0.25">
      <c r="A53" s="11" t="s">
        <v>85</v>
      </c>
      <c r="B53" s="4" t="s">
        <v>123</v>
      </c>
      <c r="C53" s="9">
        <f>(AnzChass-1)*dChass_virt/1000</f>
        <v>0.21424991753918715</v>
      </c>
    </row>
    <row r="55" spans="1:3" x14ac:dyDescent="0.25">
      <c r="A55" s="11" t="s">
        <v>27</v>
      </c>
      <c r="B55" s="4" t="s">
        <v>125</v>
      </c>
      <c r="C55" s="9">
        <f>AnzChass*dChass_virt/1000</f>
        <v>0.28566655671891616</v>
      </c>
    </row>
    <row r="56" spans="1:3" x14ac:dyDescent="0.25">
      <c r="A56" s="11" t="s">
        <v>71</v>
      </c>
      <c r="B56" s="4" t="s">
        <v>124</v>
      </c>
      <c r="C56" s="9">
        <f>(AnzChass*dChass_virt+(2*dChRd_virt-dChass_virt))/1000</f>
        <v>0.3176161058256371</v>
      </c>
    </row>
    <row r="61" spans="1:3" x14ac:dyDescent="0.25">
      <c r="A61" s="13" t="s">
        <v>112</v>
      </c>
      <c r="B61" s="4" t="s">
        <v>109</v>
      </c>
      <c r="C61" s="65">
        <f>TAN(RADIANS(-beta1/2))</f>
        <v>-8.7266462821240521E-5</v>
      </c>
    </row>
    <row r="62" spans="1:3" x14ac:dyDescent="0.25">
      <c r="B62" s="4" t="s">
        <v>110</v>
      </c>
      <c r="C62" s="65">
        <f>TAN(RADIANS(beta1/2))</f>
        <v>8.7266462821240521E-5</v>
      </c>
    </row>
  </sheetData>
  <sheetProtection sheet="1" objects="1" scenarios="1" selectLockedCells="1"/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"/>
  <sheetViews>
    <sheetView zoomScale="55" zoomScaleNormal="55" workbookViewId="0">
      <selection activeCell="F4" sqref="F4"/>
    </sheetView>
  </sheetViews>
  <sheetFormatPr baseColWidth="10" defaultRowHeight="15" x14ac:dyDescent="0.25"/>
  <cols>
    <col min="2" max="2" width="4.7109375" customWidth="1"/>
  </cols>
  <sheetData>
    <row r="1" spans="2:8" ht="283.5" customHeight="1" x14ac:dyDescent="0.25"/>
    <row r="2" spans="2:8" ht="273.75" customHeight="1" thickBot="1" x14ac:dyDescent="0.3"/>
    <row r="3" spans="2:8" ht="283.5" customHeight="1" thickBot="1" x14ac:dyDescent="0.3">
      <c r="B3" s="60"/>
      <c r="D3" s="55">
        <f>IF(Modell="ZL 200",3,1)</f>
        <v>1</v>
      </c>
      <c r="F3" s="55">
        <f>IF(Modell="ZL 125",2,IF(Modell="ZL 200",4,1))</f>
        <v>1</v>
      </c>
      <c r="H3" s="55">
        <f>IF(Modell="ZL 375",1,2)</f>
        <v>2</v>
      </c>
    </row>
    <row r="4" spans="2:8" ht="284.25" customHeight="1" x14ac:dyDescent="0.25">
      <c r="B4" s="60"/>
    </row>
  </sheetData>
  <sheetProtection sheet="1" objects="1" scenarios="1"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5CEEB89AB08E43890199F668C2472B" ma:contentTypeVersion="16" ma:contentTypeDescription="Ein neues Dokument erstellen." ma:contentTypeScope="" ma:versionID="0da1ef4e6a2b881e40a73d10646a15bc">
  <xsd:schema xmlns:xsd="http://www.w3.org/2001/XMLSchema" xmlns:xs="http://www.w3.org/2001/XMLSchema" xmlns:p="http://schemas.microsoft.com/office/2006/metadata/properties" xmlns:ns2="89dd595d-e7fa-47e8-912c-6acbceca7f2d" xmlns:ns3="4143c630-20c0-4632-9d94-ec65fef37a95" targetNamespace="http://schemas.microsoft.com/office/2006/metadata/properties" ma:root="true" ma:fieldsID="588f4dee39dd43605e69cfe107de6c3c" ns2:_="" ns3:_="">
    <xsd:import namespace="89dd595d-e7fa-47e8-912c-6acbceca7f2d"/>
    <xsd:import namespace="4143c630-20c0-4632-9d94-ec65fef37a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d595d-e7fa-47e8-912c-6acbceca7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275e190-c1c5-407e-bdfd-4bf4a32097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3c630-20c0-4632-9d94-ec65fef37a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d32f42-206d-453b-9e89-efe1dc185193}" ma:internalName="TaxCatchAll" ma:showField="CatchAllData" ma:web="4143c630-20c0-4632-9d94-ec65fef37a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2D9D9D-91E9-4FDF-9FCB-5895D448D0B5}"/>
</file>

<file path=customXml/itemProps2.xml><?xml version="1.0" encoding="utf-8"?>
<ds:datastoreItem xmlns:ds="http://schemas.openxmlformats.org/officeDocument/2006/customXml" ds:itemID="{BC3E2155-F9B6-407A-A57E-27700527D9E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143</vt:i4>
      </vt:variant>
    </vt:vector>
  </HeadingPairs>
  <TitlesOfParts>
    <vt:vector size="146" baseType="lpstr">
      <vt:lpstr>Abstrahlverhalten</vt:lpstr>
      <vt:lpstr>Berechnung</vt:lpstr>
      <vt:lpstr>Bilder</vt:lpstr>
      <vt:lpstr>alpha</vt:lpstr>
      <vt:lpstr>alpha_1</vt:lpstr>
      <vt:lpstr>AnzChass</vt:lpstr>
      <vt:lpstr>AnzGrp</vt:lpstr>
      <vt:lpstr>AnzLS</vt:lpstr>
      <vt:lpstr>Berechnung</vt:lpstr>
      <vt:lpstr>beta</vt:lpstr>
      <vt:lpstr>beta1</vt:lpstr>
      <vt:lpstr>c_schall</vt:lpstr>
      <vt:lpstr>dChass</vt:lpstr>
      <vt:lpstr>dChass_virt</vt:lpstr>
      <vt:lpstr>dChRd</vt:lpstr>
      <vt:lpstr>dChRd_virt</vt:lpstr>
      <vt:lpstr>dChRd100</vt:lpstr>
      <vt:lpstr>dChRd100_virt</vt:lpstr>
      <vt:lpstr>dChRd125</vt:lpstr>
      <vt:lpstr>dChRd125_virt</vt:lpstr>
      <vt:lpstr>delay_G1</vt:lpstr>
      <vt:lpstr>delay_G10</vt:lpstr>
      <vt:lpstr>delay_G11</vt:lpstr>
      <vt:lpstr>delay_G12</vt:lpstr>
      <vt:lpstr>delay_G2</vt:lpstr>
      <vt:lpstr>delay_G3</vt:lpstr>
      <vt:lpstr>delay_G4</vt:lpstr>
      <vt:lpstr>delay_G5</vt:lpstr>
      <vt:lpstr>delay_G6</vt:lpstr>
      <vt:lpstr>delay_G7</vt:lpstr>
      <vt:lpstr>delay_G8</vt:lpstr>
      <vt:lpstr>delay_G9</vt:lpstr>
      <vt:lpstr>dGruppen</vt:lpstr>
      <vt:lpstr>dGruppen_virt</vt:lpstr>
      <vt:lpstr>diff_1</vt:lpstr>
      <vt:lpstr>diff_10</vt:lpstr>
      <vt:lpstr>diff_11</vt:lpstr>
      <vt:lpstr>diff_12</vt:lpstr>
      <vt:lpstr>diff_1C</vt:lpstr>
      <vt:lpstr>diff_2</vt:lpstr>
      <vt:lpstr>diff_3</vt:lpstr>
      <vt:lpstr>diff_4</vt:lpstr>
      <vt:lpstr>diff_5</vt:lpstr>
      <vt:lpstr>diff_6</vt:lpstr>
      <vt:lpstr>diff_7</vt:lpstr>
      <vt:lpstr>diff_8</vt:lpstr>
      <vt:lpstr>diff_9</vt:lpstr>
      <vt:lpstr>diff2_1</vt:lpstr>
      <vt:lpstr>diff2_10</vt:lpstr>
      <vt:lpstr>diff2_11</vt:lpstr>
      <vt:lpstr>diff2_12</vt:lpstr>
      <vt:lpstr>diff2_2</vt:lpstr>
      <vt:lpstr>diff2_3</vt:lpstr>
      <vt:lpstr>diff2_4</vt:lpstr>
      <vt:lpstr>diff2_5</vt:lpstr>
      <vt:lpstr>diff2_6</vt:lpstr>
      <vt:lpstr>diff2_7</vt:lpstr>
      <vt:lpstr>diff2_8</vt:lpstr>
      <vt:lpstr>diff2_9</vt:lpstr>
      <vt:lpstr>diff3_1</vt:lpstr>
      <vt:lpstr>diff3_10</vt:lpstr>
      <vt:lpstr>diff3_11</vt:lpstr>
      <vt:lpstr>diff3_12</vt:lpstr>
      <vt:lpstr>diff3_2</vt:lpstr>
      <vt:lpstr>diff3_3</vt:lpstr>
      <vt:lpstr>diff3_4</vt:lpstr>
      <vt:lpstr>diff3_5</vt:lpstr>
      <vt:lpstr>diff3_6</vt:lpstr>
      <vt:lpstr>diff3_7</vt:lpstr>
      <vt:lpstr>diff3_8</vt:lpstr>
      <vt:lpstr>diff3_9</vt:lpstr>
      <vt:lpstr>dLS</vt:lpstr>
      <vt:lpstr>dLS_virt</vt:lpstr>
      <vt:lpstr>dTT</vt:lpstr>
      <vt:lpstr>dUKLS</vt:lpstr>
      <vt:lpstr>dxMIN_HT</vt:lpstr>
      <vt:lpstr>dxMIN_MT</vt:lpstr>
      <vt:lpstr>dxMIN_TT</vt:lpstr>
      <vt:lpstr>dxMIN_TT2</vt:lpstr>
      <vt:lpstr>EndeHB</vt:lpstr>
      <vt:lpstr>L_eff</vt:lpstr>
      <vt:lpstr>L_eff_virt</vt:lpstr>
      <vt:lpstr>L_effGrp</vt:lpstr>
      <vt:lpstr>L_effGrp_virt</vt:lpstr>
      <vt:lpstr>L_HTeff</vt:lpstr>
      <vt:lpstr>m_1</vt:lpstr>
      <vt:lpstr>m_1_Winkel</vt:lpstr>
      <vt:lpstr>m_1_Winkel2</vt:lpstr>
      <vt:lpstr>m_2</vt:lpstr>
      <vt:lpstr>m_2_Winkel</vt:lpstr>
      <vt:lpstr>m_2_Winkel2</vt:lpstr>
      <vt:lpstr>m_2_zwischen</vt:lpstr>
      <vt:lpstr>min_dx_HT</vt:lpstr>
      <vt:lpstr>min_dx_MT</vt:lpstr>
      <vt:lpstr>min_dx_TT</vt:lpstr>
      <vt:lpstr>min_dx_TT2</vt:lpstr>
      <vt:lpstr>minDX</vt:lpstr>
      <vt:lpstr>minDX_lang</vt:lpstr>
      <vt:lpstr>minDX2</vt:lpstr>
      <vt:lpstr>minDX3</vt:lpstr>
      <vt:lpstr>Modell</vt:lpstr>
      <vt:lpstr>Modell2</vt:lpstr>
      <vt:lpstr>OKHB</vt:lpstr>
      <vt:lpstr>Ref_ZL125</vt:lpstr>
      <vt:lpstr>Ref_ZL200</vt:lpstr>
      <vt:lpstr>Ref_ZL250</vt:lpstr>
      <vt:lpstr>Ref_ZL375</vt:lpstr>
      <vt:lpstr>Ref2_ZL125</vt:lpstr>
      <vt:lpstr>Ref2_ZL200</vt:lpstr>
      <vt:lpstr>Ref2_ZL250</vt:lpstr>
      <vt:lpstr>Ref2_ZL375</vt:lpstr>
      <vt:lpstr>Ref3_ZL125</vt:lpstr>
      <vt:lpstr>Ref3_ZL200</vt:lpstr>
      <vt:lpstr>Ref3_ZL250</vt:lpstr>
      <vt:lpstr>Ref3_ZL375</vt:lpstr>
      <vt:lpstr>StHB</vt:lpstr>
      <vt:lpstr>t_1</vt:lpstr>
      <vt:lpstr>t_2</vt:lpstr>
      <vt:lpstr>UKHB</vt:lpstr>
      <vt:lpstr>UKLS</vt:lpstr>
      <vt:lpstr>x_1</vt:lpstr>
      <vt:lpstr>x_2</vt:lpstr>
      <vt:lpstr>xFoc</vt:lpstr>
      <vt:lpstr>xFok</vt:lpstr>
      <vt:lpstr>xFok_HB</vt:lpstr>
      <vt:lpstr>xFok_HT</vt:lpstr>
      <vt:lpstr>xFok_MT</vt:lpstr>
      <vt:lpstr>xFok_TT</vt:lpstr>
      <vt:lpstr>xFok_Winkel</vt:lpstr>
      <vt:lpstr>xFok_Winkel2</vt:lpstr>
      <vt:lpstr>xFokus</vt:lpstr>
      <vt:lpstr>y_1</vt:lpstr>
      <vt:lpstr>y_2</vt:lpstr>
      <vt:lpstr>y_LS1</vt:lpstr>
      <vt:lpstr>y_LS1_virt</vt:lpstr>
      <vt:lpstr>y_LS2</vt:lpstr>
      <vt:lpstr>y_LS2_virt</vt:lpstr>
      <vt:lpstr>y2HB</vt:lpstr>
      <vt:lpstr>yFok</vt:lpstr>
      <vt:lpstr>yFok_HB</vt:lpstr>
      <vt:lpstr>yFok_HT</vt:lpstr>
      <vt:lpstr>yFok_MT</vt:lpstr>
      <vt:lpstr>yFok_TT</vt:lpstr>
      <vt:lpstr>yFok_Winkel</vt:lpstr>
      <vt:lpstr>yFok_Winkel2</vt:lpstr>
      <vt:lpstr>yFokus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</dc:creator>
  <cp:lastModifiedBy>Fabian Pusch</cp:lastModifiedBy>
  <dcterms:created xsi:type="dcterms:W3CDTF">2017-10-01T15:47:24Z</dcterms:created>
  <dcterms:modified xsi:type="dcterms:W3CDTF">2021-05-11T15:33:49Z</dcterms:modified>
</cp:coreProperties>
</file>